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ebühren 2004" sheetId="1" r:id="rId1"/>
  </sheets>
  <definedNames>
    <definedName name="_xlnm.Print_Titles" localSheetId="0">'Gebühren 2004'!$2:$4</definedName>
  </definedNames>
  <calcPr fullCalcOnLoad="1"/>
</workbook>
</file>

<file path=xl/comments1.xml><?xml version="1.0" encoding="utf-8"?>
<comments xmlns="http://schemas.openxmlformats.org/spreadsheetml/2006/main">
  <authors>
    <author>Frank Noll</author>
    <author>J?rg Inhestern</author>
  </authors>
  <commentList>
    <comment ref="D127" authorId="0">
      <text>
        <r>
          <rPr>
            <b/>
            <sz val="8"/>
            <rFont val="Tahoma"/>
            <family val="0"/>
          </rPr>
          <t xml:space="preserve">kl. Restmüllgefäße
+ Container
</t>
        </r>
        <r>
          <rPr>
            <b/>
            <u val="single"/>
            <sz val="8"/>
            <rFont val="Tahoma"/>
            <family val="2"/>
          </rPr>
          <t/>
        </r>
      </text>
    </comment>
    <comment ref="D136" authorId="0">
      <text>
        <r>
          <rPr>
            <b/>
            <sz val="8"/>
            <rFont val="Tahoma"/>
            <family val="0"/>
          </rPr>
          <t xml:space="preserve">Bioabfälle und Grünabfälle
</t>
        </r>
        <r>
          <rPr>
            <b/>
            <u val="single"/>
            <sz val="8"/>
            <rFont val="Tahoma"/>
            <family val="2"/>
          </rPr>
          <t/>
        </r>
      </text>
    </comment>
    <comment ref="C43" authorId="1">
      <text>
        <r>
          <rPr>
            <b/>
            <sz val="8"/>
            <rFont val="Tahoma"/>
            <family val="0"/>
          </rPr>
          <t>Jörg Inhestern:</t>
        </r>
        <r>
          <rPr>
            <sz val="8"/>
            <rFont val="Tahoma"/>
            <family val="0"/>
          </rPr>
          <t xml:space="preserve">
wöchentlich</t>
        </r>
      </text>
    </comment>
    <comment ref="C42" authorId="1">
      <text>
        <r>
          <rPr>
            <b/>
            <sz val="8"/>
            <rFont val="Tahoma"/>
            <family val="0"/>
          </rPr>
          <t>Jörg Inhestern:</t>
        </r>
        <r>
          <rPr>
            <sz val="8"/>
            <rFont val="Tahoma"/>
            <family val="0"/>
          </rPr>
          <t xml:space="preserve">
14-tägig</t>
        </r>
      </text>
    </comment>
    <comment ref="B8" authorId="1">
      <text>
        <r>
          <rPr>
            <b/>
            <sz val="8"/>
            <rFont val="Tahoma"/>
            <family val="0"/>
          </rPr>
          <t>Jörg Inhestern:</t>
        </r>
        <r>
          <rPr>
            <sz val="8"/>
            <rFont val="Tahoma"/>
            <family val="0"/>
          </rPr>
          <t xml:space="preserve">
zzgl. 50 Tonnen pauschal für Pflichtrestmülltonne nach der Gewerbeabfallverordnung</t>
        </r>
      </text>
    </comment>
  </commentList>
</comments>
</file>

<file path=xl/sharedStrings.xml><?xml version="1.0" encoding="utf-8"?>
<sst xmlns="http://schemas.openxmlformats.org/spreadsheetml/2006/main" count="263" uniqueCount="184">
  <si>
    <t>Kalkulation der Abfallgebühren 2004</t>
  </si>
  <si>
    <t>Kostenstellen</t>
  </si>
  <si>
    <t>Kosten/Erlöse</t>
  </si>
  <si>
    <t>A</t>
  </si>
  <si>
    <t>B</t>
  </si>
  <si>
    <t>Innenbereich</t>
  </si>
  <si>
    <t>Außenbereich</t>
  </si>
  <si>
    <t>1.</t>
  </si>
  <si>
    <t>Gefäßvolumen</t>
  </si>
  <si>
    <t>a)</t>
  </si>
  <si>
    <t>Restmüll</t>
  </si>
  <si>
    <t>aa)</t>
  </si>
  <si>
    <t>Restmüll Innenbereich</t>
  </si>
  <si>
    <t>ab)</t>
  </si>
  <si>
    <t>Restmüll Außenbereich</t>
  </si>
  <si>
    <t>b)</t>
  </si>
  <si>
    <t>Papier</t>
  </si>
  <si>
    <t>ba)</t>
  </si>
  <si>
    <t>Papier Innenbereich</t>
  </si>
  <si>
    <t>bb)</t>
  </si>
  <si>
    <t>Papier Außenbereich</t>
  </si>
  <si>
    <t>2.</t>
  </si>
  <si>
    <t>Kosten</t>
  </si>
  <si>
    <t>2.1.</t>
  </si>
  <si>
    <t>Unternehmerkosten</t>
  </si>
  <si>
    <t>Restmüllgefäße Innenbereich (Sammlung und Gestellung)</t>
  </si>
  <si>
    <t>l-Gefäße</t>
  </si>
  <si>
    <t>Summe Kosten Restmüllgefäße im Innenbereich</t>
  </si>
  <si>
    <t>Restmüllgefäße Außenbereich (Sammlung und Gestellung)</t>
  </si>
  <si>
    <t>Summe Kosten Restmüllgefäße im Außenbereich</t>
  </si>
  <si>
    <t>ac)</t>
  </si>
  <si>
    <t>Beförderungskosten Restmüll</t>
  </si>
  <si>
    <t>Tonnen</t>
  </si>
  <si>
    <t>Aufteilung nach dem Volumen der Restmüllgefäße</t>
  </si>
  <si>
    <t>für den Innen- und Außenbereich</t>
  </si>
  <si>
    <t>Anteil Innenbereich (siehe Ziffer 1. aa)</t>
  </si>
  <si>
    <t>Anteil Außenbereich (siehe Ziffer 1. ab)</t>
  </si>
  <si>
    <t>Biomüll</t>
  </si>
  <si>
    <t>Bioabfallgefäße (Sammlung und Gestellung)</t>
  </si>
  <si>
    <t>Summe Unternehmerkosten Bioabfallgefäße</t>
  </si>
  <si>
    <t>Beförderungskosten Biomüll</t>
  </si>
  <si>
    <t>bc)</t>
  </si>
  <si>
    <t>Grünabfuhr</t>
  </si>
  <si>
    <t>Kosten je Tonne</t>
  </si>
  <si>
    <t>Beförderungskosten</t>
  </si>
  <si>
    <t>c)</t>
  </si>
  <si>
    <t>ca)</t>
  </si>
  <si>
    <t>Papiergefäße Innenbereich (Sammlung und Gestellung)</t>
  </si>
  <si>
    <t>Summe Kosten Papiergefäße im Innenbereich</t>
  </si>
  <si>
    <t>cb)</t>
  </si>
  <si>
    <t>Papiergefäße Außenbereich (Sammlung und Gestellung)</t>
  </si>
  <si>
    <t>Summe Kosten Papiergefäße im Außenbereich</t>
  </si>
  <si>
    <t>cc)</t>
  </si>
  <si>
    <t>Beförderungskosten Papier</t>
  </si>
  <si>
    <t>Aufteilung nach dem Volumen der Papiergefäße</t>
  </si>
  <si>
    <t>Anteil Innenbereich (siehe Ziffer 1. ba)</t>
  </si>
  <si>
    <t>Anteil Außenbereich (siehe Ziffer 1. bb)</t>
  </si>
  <si>
    <t>cd)</t>
  </si>
  <si>
    <t>Karitative Papiersammlung</t>
  </si>
  <si>
    <t>Gestellung von Abrollmulden 35 m³</t>
  </si>
  <si>
    <t>m³-Mulden</t>
  </si>
  <si>
    <t>Zuschuss an Verbände</t>
  </si>
  <si>
    <t>ce)</t>
  </si>
  <si>
    <t>Erstauslieferung Papiergefäße</t>
  </si>
  <si>
    <t>Da im Außenbereich bereits Papiergefäße vorhanden</t>
  </si>
  <si>
    <t>sind, erfolgt die Erstauslieferung nur für den Innenbereich</t>
  </si>
  <si>
    <t>Summe Erstauslieferung Papiergefäße für den Innenbereich</t>
  </si>
  <si>
    <t>d)</t>
  </si>
  <si>
    <t>Sonstige Unternehmerkosten/Leistungen des Baubetriebshofes</t>
  </si>
  <si>
    <t>Folgende Kosten werden nach dem Volumen der Restmüllgefäße</t>
  </si>
  <si>
    <t>auf den Innen- und Außenbereich aufgeteilt:</t>
  </si>
  <si>
    <t>Wertstoffhof</t>
  </si>
  <si>
    <t>Gefäßbewirtsch. bis 240 l</t>
  </si>
  <si>
    <t>Containerbewirtschaftung</t>
  </si>
  <si>
    <t>Schadstoffmobil</t>
  </si>
  <si>
    <t>Beseitigung von "wilden Müllkippen"</t>
  </si>
  <si>
    <t>Aufstellung/Unterhaltung von Straßenpapierkörben</t>
  </si>
  <si>
    <t>Leerung von Straßenpapierkörben</t>
  </si>
  <si>
    <t>2.2.</t>
  </si>
  <si>
    <t>Entsorgungsgebühren an den Kreis Coesfeld</t>
  </si>
  <si>
    <t>für Restmüll (ohne Sperrgutabfuhr)</t>
  </si>
  <si>
    <t>Der Kreis Coesfeld erhebt für Entsorgung</t>
  </si>
  <si>
    <t>eine Grund- und eine Zusatzgebühr.</t>
  </si>
  <si>
    <t>Grundgebühr:</t>
  </si>
  <si>
    <t>Die Jahresgrundgebühr wird durch den Kreis Coesfeld anhand der</t>
  </si>
  <si>
    <t>Gefäßzahlen zum 01.07.2003 ermittelt.</t>
  </si>
  <si>
    <t>80 u. 120 l-Gefäße</t>
  </si>
  <si>
    <t>240 l-Gefäße</t>
  </si>
  <si>
    <t>1,1 m³-Container</t>
  </si>
  <si>
    <t>Die Grundgebühr beträgt für das Jahr 2004</t>
  </si>
  <si>
    <t>Zusatzgebühr:</t>
  </si>
  <si>
    <t>Maßstab für die Zusatzgebühr ist das Gewicht der</t>
  </si>
  <si>
    <t>anzuliefernden Mengen:</t>
  </si>
  <si>
    <t>Entsorgungsgebühren für Restmüll insgesamt =</t>
  </si>
  <si>
    <t>Die Entsorgungsgebühren für Restmüll werden nach dem Volumen</t>
  </si>
  <si>
    <t>der Restmüllgefäße auf den Innen- und Außenbereich aufgeteilt.</t>
  </si>
  <si>
    <t>für Bioabfall einschl. Grünabfuhr</t>
  </si>
  <si>
    <t>Die Deponiegebühren für Bioabfall werden direkt dem Innenbereich</t>
  </si>
  <si>
    <t>zugeordnet, da sie auch nur dort anfallen.</t>
  </si>
  <si>
    <t>Für die Verwertung von Papier wird vom Kreis Coesfeld</t>
  </si>
  <si>
    <t>im Jahr 2004 keine eigene Gebühr erhoben.</t>
  </si>
  <si>
    <t>für Anlieferungen beim Wertstoffhof und sonstige Sammlungen</t>
  </si>
  <si>
    <t>Sperrmüll</t>
  </si>
  <si>
    <t>Kühlgeräte</t>
  </si>
  <si>
    <t>Altholz</t>
  </si>
  <si>
    <t>Elektro-Schrott</t>
  </si>
  <si>
    <t>Teppiche/Teppichböden</t>
  </si>
  <si>
    <t>Grünabfälle</t>
  </si>
  <si>
    <t>wilde Müllablagerungen</t>
  </si>
  <si>
    <t>Papierkorbabfälle</t>
  </si>
  <si>
    <t>Dieser Betrag wird nach dem Volumen der Restmüll-</t>
  </si>
  <si>
    <t>gefäße auf den Innen- und Außenbereich aufgeteilt.</t>
  </si>
  <si>
    <t>2.3.</t>
  </si>
  <si>
    <t>Personal- und Sachkosten</t>
  </si>
  <si>
    <t>Die Personal- und Sachkosten werden nach dem Verhältnis der</t>
  </si>
  <si>
    <t>Restmüllgefäße auf die beiden Kostenstellen aufgeschlüsselt.</t>
  </si>
  <si>
    <t>Personalkosten einschl. Abfallberatung</t>
  </si>
  <si>
    <t>Verwaltungsgemeinkosten</t>
  </si>
  <si>
    <t>Sachkosten</t>
  </si>
  <si>
    <t>Erstellung Abfallbroschüre</t>
  </si>
  <si>
    <t>Sonstige Geschäftsausgaben</t>
  </si>
  <si>
    <t>EDV-Kosten</t>
  </si>
  <si>
    <t>Vermischte Ausgaben</t>
  </si>
  <si>
    <t>3.</t>
  </si>
  <si>
    <t>Summe der ansatzfähigen Kosten</t>
  </si>
  <si>
    <t>4.</t>
  </si>
  <si>
    <t>Erlöse</t>
  </si>
  <si>
    <t>Hierbei handelt es sich um folgende Positionen:</t>
  </si>
  <si>
    <t>Erstattung der DSD AG (netto)</t>
  </si>
  <si>
    <t>Vermischte Einnahmen</t>
  </si>
  <si>
    <t>Diese Erlöse werden nach dem Verhältnis der ansatzfähigen</t>
  </si>
  <si>
    <t>Kosten (siehe Ziffer 3) auf die beiden Kostenstellen aufgeschlüsselt.</t>
  </si>
  <si>
    <t>Anteil Innenbereich (Summe Ziffer 3)</t>
  </si>
  <si>
    <t>Anteil Außenbereich (Summe Ziffer 3)</t>
  </si>
  <si>
    <t>Zwischensumme (Ziffer 3 abzgl. Ziffer 4)</t>
  </si>
  <si>
    <t>5.</t>
  </si>
  <si>
    <t>Berücksichtigung von Betriebsergebnissen</t>
  </si>
  <si>
    <t>Für 2004 ist kein Betriebsergebnis zu berücksichtigen.</t>
  </si>
  <si>
    <t>Der Gebührenüberschuss wird nach der Höhe der den</t>
  </si>
  <si>
    <t>Gebührenzahlern zuzuordnenden Kosten (Zwischen-</t>
  </si>
  <si>
    <t>summe bei Ziffer 4) umgelegt.</t>
  </si>
  <si>
    <t>Anteil Innenbereich</t>
  </si>
  <si>
    <t>von</t>
  </si>
  <si>
    <t>Anteil Außenbereich</t>
  </si>
  <si>
    <t>6.</t>
  </si>
  <si>
    <t>Gebührennachlass für Eigenkompostierer</t>
  </si>
  <si>
    <t>Dieser Nachlass wird nur den Eigenkompostierern im Innenbereich</t>
  </si>
  <si>
    <t>gewährt, da der Kostenstelle "Außenbereich" keine Kosten der</t>
  </si>
  <si>
    <t>Bioabfuhr zugeordnet sind.</t>
  </si>
  <si>
    <t>x</t>
  </si>
  <si>
    <t>=</t>
  </si>
  <si>
    <t>7.</t>
  </si>
  <si>
    <t>Grundgebühr</t>
  </si>
  <si>
    <t>Je Restmüllgefäß wird eine Grundgebühr von</t>
  </si>
  <si>
    <t>erhoben.</t>
  </si>
  <si>
    <t>Innenbereich (siehe Ziffer 1. aa)</t>
  </si>
  <si>
    <t>Außenbereich (siehe Ziffer 1. ab)</t>
  </si>
  <si>
    <t>8.</t>
  </si>
  <si>
    <t>Linear umzulegende Kosten</t>
  </si>
  <si>
    <t>Gefäßvolumen Restmüllgefäße (siehe Ziffer 1. a)</t>
  </si>
  <si>
    <t>9.</t>
  </si>
  <si>
    <t>Abfallgebühr je Liter und Abfuhr</t>
  </si>
  <si>
    <t>10.</t>
  </si>
  <si>
    <t>Gefäßgebühren</t>
  </si>
  <si>
    <t>Zusatzgebühr</t>
  </si>
  <si>
    <t>Jahresgrundgebühr</t>
  </si>
  <si>
    <t>im Innenbereich</t>
  </si>
  <si>
    <t>im Außenbereich</t>
  </si>
  <si>
    <t>Übersicht über die Gebührensätze</t>
  </si>
  <si>
    <t></t>
  </si>
  <si>
    <t>80 l - Restmüllgefäß</t>
  </si>
  <si>
    <t>120 l - Restmüllgefäß</t>
  </si>
  <si>
    <t>240 l - Restmüllgefäß</t>
  </si>
  <si>
    <t>1,1 m³ - Container (14-tägliche Leerung)</t>
  </si>
  <si>
    <t>1,1 m³ - Container (wöchentliche Leerung)</t>
  </si>
  <si>
    <t>Kalkulation aufgestellt:</t>
  </si>
  <si>
    <t>Coesfeld, 26.11.2002</t>
  </si>
  <si>
    <t>Der Bürgermeister</t>
  </si>
  <si>
    <t>Fachbereich 20 / Finanzen und Controlling</t>
  </si>
  <si>
    <t>I. A.</t>
  </si>
  <si>
    <t xml:space="preserve"> </t>
  </si>
  <si>
    <t>gez. Inhestern</t>
  </si>
  <si>
    <r>
      <t xml:space="preserve">im </t>
    </r>
    <r>
      <rPr>
        <b/>
        <u val="single"/>
        <sz val="11"/>
        <rFont val="Arial"/>
        <family val="2"/>
      </rPr>
      <t>Innenbereich</t>
    </r>
  </si>
  <si>
    <r>
      <t xml:space="preserve">im </t>
    </r>
    <r>
      <rPr>
        <b/>
        <u val="single"/>
        <sz val="11"/>
        <rFont val="Arial"/>
        <family val="2"/>
      </rPr>
      <t>Außenbereich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</si>
</sst>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l&quot;"/>
    <numFmt numFmtId="173" formatCode="#,##0&quot; t&quot;"/>
    <numFmt numFmtId="174" formatCode="0&quot; Gefäße&quot;"/>
    <numFmt numFmtId="175" formatCode="&quot;à &quot;#,##0&quot; l&quot;"/>
    <numFmt numFmtId="176" formatCode="&quot;= &quot;#,##0&quot; l&quot;"/>
    <numFmt numFmtId="177" formatCode="&quot;x &quot;#,##0&quot; Abfuhren =&quot;"/>
    <numFmt numFmtId="178" formatCode="&quot;= &quot;0.00%"/>
    <numFmt numFmtId="179" formatCode="&quot;x &quot;#,##0.00\ &quot;DM&quot;&quot; =&quot;;&quot;x &quot;\-#,##0.00\ &quot;DM&quot;&quot; =&quot;"/>
    <numFmt numFmtId="180" formatCode="0.00%&quot; =&quot;"/>
    <numFmt numFmtId="181" formatCode="#,##0&quot; Gefäße&quot;"/>
    <numFmt numFmtId="182" formatCode="&quot;= &quot;0.00%&quot; =&quot;"/>
    <numFmt numFmtId="183" formatCode="&quot;rd. &quot;#,##0&quot; Fälle&quot;"/>
    <numFmt numFmtId="184" formatCode="#,##0.0000\ &quot;DM&quot;;\-#,##0.0000\ &quot;DM&quot;"/>
    <numFmt numFmtId="185" formatCode="#,##0.0000\ &quot;DM&quot;&quot;/l&quot;;\-#,##0.0000\ &quot;DM&quot;&quot;/l&quot;"/>
    <numFmt numFmtId="186" formatCode="&quot;+ &quot;#,##0.00\ &quot;DM&quot;&quot; =&quot;;&quot;+ &quot;\-#,##0.00\ &quot;DM&quot;&quot; =&quot;"/>
    <numFmt numFmtId="187" formatCode="&quot;x &quot;#,##0.00\ &quot;DM&quot;&quot;/t =&quot;;&quot;x &quot;\-#,##0.00\ &quot;DM&quot;&quot;/t =&quot;"/>
    <numFmt numFmtId="188" formatCode="#,##0&quot; Geräte&quot;"/>
    <numFmt numFmtId="189" formatCode="#,##0\ &quot;DM&quot;"/>
    <numFmt numFmtId="190" formatCode="#,##0.00\ \€;\-#,##0.00\ \€"/>
    <numFmt numFmtId="191" formatCode="\x\ #,##0.00\ \€\ \=;\x\ \-#,##0.00\ \€\ \="/>
    <numFmt numFmtId="192" formatCode="#,##0\ \€;\-#,##0\ \€"/>
    <numFmt numFmtId="193" formatCode="\x\ #,##0.00&quot; €/t =&quot;;\x\ \-#,##0.00&quot; €/t =&quot;"/>
    <numFmt numFmtId="194" formatCode="#,##0.0000&quot; €/l&quot;;\-#,##0.0000&quot; €/l&quot;"/>
    <numFmt numFmtId="195" formatCode="\+\ #,##0.00&quot; € =&quot;;\-\ #,##0.00&quot; € =&quot;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#,##0\ &quot;€&quot;"/>
    <numFmt numFmtId="202" formatCode="#,##0\ &quot;€&quot;\ &quot;=&quot;"/>
    <numFmt numFmtId="203" formatCode="#,##0\ &quot;€&quot;&quot; =&quot;"/>
    <numFmt numFmtId="204" formatCode="#,##0.00\ &quot;€&quot;"/>
    <numFmt numFmtId="205" formatCode="#,##0\ &quot;Stck.&quot;"/>
    <numFmt numFmtId="206" formatCode="#,##0.00\ &quot;€&quot;&quot;/t&quot;"/>
    <numFmt numFmtId="207" formatCode="0.0&quot;-fach&quot;"/>
    <numFmt numFmtId="208" formatCode="#,##0.00\ _€"/>
    <numFmt numFmtId="209" formatCode="&quot;rd.  &quot;#,##0.00\ &quot;€&quot;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i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.5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b/>
      <sz val="8"/>
      <name val="Tahoma"/>
      <family val="0"/>
    </font>
    <font>
      <b/>
      <u val="single"/>
      <sz val="8"/>
      <name val="Tahoma"/>
      <family val="2"/>
    </font>
    <font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90" fontId="0" fillId="0" borderId="0">
      <alignment/>
      <protection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64" fontId="5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/>
    </xf>
    <xf numFmtId="164" fontId="6" fillId="2" borderId="2" xfId="0" applyNumberFormat="1" applyFont="1" applyFill="1" applyBorder="1" applyAlignment="1">
      <alignment horizontal="centerContinuous"/>
    </xf>
    <xf numFmtId="164" fontId="7" fillId="2" borderId="3" xfId="0" applyNumberFormat="1" applyFont="1" applyFill="1" applyBorder="1" applyAlignment="1">
      <alignment horizontal="centerContinuous"/>
    </xf>
    <xf numFmtId="164" fontId="6" fillId="2" borderId="4" xfId="0" applyNumberFormat="1" applyFont="1" applyFill="1" applyBorder="1" applyAlignment="1">
      <alignment horizontal="centerContinuous" vertical="center"/>
    </xf>
    <xf numFmtId="164" fontId="7" fillId="2" borderId="5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Alignment="1">
      <alignment/>
    </xf>
    <xf numFmtId="164" fontId="6" fillId="2" borderId="6" xfId="0" applyNumberFormat="1" applyFont="1" applyFill="1" applyBorder="1" applyAlignment="1">
      <alignment horizontal="centerContinuous"/>
    </xf>
    <xf numFmtId="164" fontId="7" fillId="2" borderId="0" xfId="0" applyNumberFormat="1" applyFont="1" applyFill="1" applyBorder="1" applyAlignment="1">
      <alignment horizontal="centerContinuous"/>
    </xf>
    <xf numFmtId="164" fontId="8" fillId="2" borderId="7" xfId="0" applyNumberFormat="1" applyFont="1" applyFill="1" applyBorder="1" applyAlignment="1">
      <alignment horizontal="centerContinuous" vertical="center"/>
    </xf>
    <xf numFmtId="164" fontId="8" fillId="2" borderId="8" xfId="0" applyNumberFormat="1" applyFont="1" applyFill="1" applyBorder="1" applyAlignment="1">
      <alignment horizontal="centerContinuous" vertical="center"/>
    </xf>
    <xf numFmtId="164" fontId="6" fillId="2" borderId="9" xfId="0" applyNumberFormat="1" applyFont="1" applyFill="1" applyBorder="1" applyAlignment="1">
      <alignment horizontal="centerContinuous" vertical="top"/>
    </xf>
    <xf numFmtId="164" fontId="4" fillId="2" borderId="1" xfId="0" applyNumberFormat="1" applyFont="1" applyFill="1" applyBorder="1" applyAlignment="1">
      <alignment horizontal="centerContinuous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right"/>
    </xf>
    <xf numFmtId="164" fontId="10" fillId="0" borderId="0" xfId="0" applyNumberFormat="1" applyFont="1" applyAlignment="1">
      <alignment/>
    </xf>
    <xf numFmtId="164" fontId="7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9" fillId="0" borderId="12" xfId="0" applyNumberFormat="1" applyFont="1" applyBorder="1" applyAlignment="1">
      <alignment horizontal="right"/>
    </xf>
    <xf numFmtId="164" fontId="9" fillId="0" borderId="0" xfId="0" applyNumberFormat="1" applyFont="1" applyAlignment="1">
      <alignment/>
    </xf>
    <xf numFmtId="164" fontId="4" fillId="0" borderId="12" xfId="0" applyNumberFormat="1" applyFont="1" applyBorder="1" applyAlignment="1">
      <alignment horizontal="right"/>
    </xf>
    <xf numFmtId="174" fontId="4" fillId="0" borderId="0" xfId="0" applyNumberFormat="1" applyFont="1" applyAlignment="1">
      <alignment/>
    </xf>
    <xf numFmtId="164" fontId="4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81" fontId="4" fillId="0" borderId="0" xfId="0" applyNumberFormat="1" applyFont="1" applyFill="1" applyAlignment="1">
      <alignment horizontal="right"/>
    </xf>
    <xf numFmtId="175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2" fontId="4" fillId="0" borderId="13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181" fontId="4" fillId="0" borderId="15" xfId="0" applyNumberFormat="1" applyFont="1" applyFill="1" applyBorder="1" applyAlignment="1">
      <alignment horizontal="right"/>
    </xf>
    <xf numFmtId="172" fontId="4" fillId="0" borderId="16" xfId="0" applyNumberFormat="1" applyFont="1" applyBorder="1" applyAlignment="1">
      <alignment/>
    </xf>
    <xf numFmtId="178" fontId="9" fillId="0" borderId="13" xfId="21" applyNumberFormat="1" applyFont="1" applyBorder="1" applyAlignment="1">
      <alignment/>
    </xf>
    <xf numFmtId="181" fontId="4" fillId="0" borderId="0" xfId="0" applyNumberFormat="1" applyFont="1" applyFill="1" applyAlignment="1">
      <alignment/>
    </xf>
    <xf numFmtId="164" fontId="4" fillId="0" borderId="12" xfId="0" applyNumberFormat="1" applyFont="1" applyBorder="1" applyAlignment="1">
      <alignment/>
    </xf>
    <xf numFmtId="172" fontId="4" fillId="0" borderId="17" xfId="0" applyNumberFormat="1" applyFont="1" applyBorder="1" applyAlignment="1">
      <alignment/>
    </xf>
    <xf numFmtId="181" fontId="4" fillId="0" borderId="0" xfId="0" applyNumberFormat="1" applyFont="1" applyAlignment="1">
      <alignment horizontal="right"/>
    </xf>
    <xf numFmtId="178" fontId="9" fillId="0" borderId="14" xfId="21" applyNumberFormat="1" applyFont="1" applyBorder="1" applyAlignment="1">
      <alignment/>
    </xf>
    <xf numFmtId="181" fontId="4" fillId="0" borderId="18" xfId="0" applyNumberFormat="1" applyFont="1" applyBorder="1" applyAlignment="1">
      <alignment horizontal="right"/>
    </xf>
    <xf numFmtId="172" fontId="4" fillId="0" borderId="19" xfId="0" applyNumberFormat="1" applyFont="1" applyBorder="1" applyAlignment="1">
      <alignment/>
    </xf>
    <xf numFmtId="172" fontId="4" fillId="0" borderId="20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right"/>
    </xf>
    <xf numFmtId="190" fontId="4" fillId="0" borderId="0" xfId="28" applyFont="1">
      <alignment/>
      <protection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>
      <alignment horizontal="centerContinuous"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191" fontId="4" fillId="0" borderId="0" xfId="0" applyNumberFormat="1" applyFont="1" applyFill="1" applyAlignment="1">
      <alignment/>
    </xf>
    <xf numFmtId="192" fontId="4" fillId="0" borderId="0" xfId="28" applyNumberFormat="1" applyFont="1">
      <alignment/>
      <protection/>
    </xf>
    <xf numFmtId="179" fontId="4" fillId="0" borderId="0" xfId="0" applyNumberFormat="1" applyFont="1" applyFill="1" applyAlignment="1">
      <alignment/>
    </xf>
    <xf numFmtId="164" fontId="4" fillId="0" borderId="21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92" fontId="4" fillId="0" borderId="17" xfId="0" applyNumberFormat="1" applyFont="1" applyBorder="1" applyAlignment="1">
      <alignment/>
    </xf>
    <xf numFmtId="192" fontId="4" fillId="0" borderId="14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92" fontId="4" fillId="0" borderId="0" xfId="28" applyNumberFormat="1" applyFont="1" applyBorder="1">
      <alignment/>
      <protection/>
    </xf>
    <xf numFmtId="192" fontId="4" fillId="0" borderId="23" xfId="28" applyNumberFormat="1" applyFont="1" applyBorder="1">
      <alignment/>
      <protection/>
    </xf>
    <xf numFmtId="164" fontId="4" fillId="0" borderId="23" xfId="0" applyNumberFormat="1" applyFont="1" applyBorder="1" applyAlignment="1">
      <alignment/>
    </xf>
    <xf numFmtId="192" fontId="4" fillId="0" borderId="24" xfId="28" applyNumberFormat="1" applyFont="1" applyBorder="1">
      <alignment/>
      <protection/>
    </xf>
    <xf numFmtId="164" fontId="4" fillId="0" borderId="22" xfId="0" applyNumberFormat="1" applyFont="1" applyBorder="1" applyAlignment="1">
      <alignment horizontal="right"/>
    </xf>
    <xf numFmtId="192" fontId="4" fillId="0" borderId="25" xfId="28" applyNumberFormat="1" applyFont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173" fontId="4" fillId="0" borderId="0" xfId="0" applyNumberFormat="1" applyFont="1" applyFill="1" applyBorder="1" applyAlignment="1">
      <alignment/>
    </xf>
    <xf numFmtId="5" fontId="4" fillId="0" borderId="0" xfId="0" applyNumberFormat="1" applyFont="1" applyFill="1" applyAlignment="1">
      <alignment/>
    </xf>
    <xf numFmtId="205" fontId="4" fillId="0" borderId="0" xfId="0" applyNumberFormat="1" applyFont="1" applyFill="1" applyAlignment="1">
      <alignment/>
    </xf>
    <xf numFmtId="192" fontId="4" fillId="0" borderId="0" xfId="0" applyNumberFormat="1" applyFont="1" applyFill="1" applyAlignment="1">
      <alignment/>
    </xf>
    <xf numFmtId="192" fontId="4" fillId="0" borderId="15" xfId="0" applyNumberFormat="1" applyFont="1" applyFill="1" applyBorder="1" applyAlignment="1">
      <alignment/>
    </xf>
    <xf numFmtId="192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193" fontId="4" fillId="0" borderId="0" xfId="0" applyNumberFormat="1" applyFont="1" applyFill="1" applyAlignment="1">
      <alignment/>
    </xf>
    <xf numFmtId="192" fontId="4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92" fontId="4" fillId="0" borderId="13" xfId="0" applyNumberFormat="1" applyFont="1" applyBorder="1" applyAlignment="1">
      <alignment/>
    </xf>
    <xf numFmtId="193" fontId="4" fillId="0" borderId="0" xfId="0" applyNumberFormat="1" applyFont="1" applyFill="1" applyBorder="1" applyAlignment="1">
      <alignment/>
    </xf>
    <xf numFmtId="192" fontId="4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87" fontId="4" fillId="0" borderId="0" xfId="0" applyNumberFormat="1" applyFont="1" applyFill="1" applyBorder="1" applyAlignment="1">
      <alignment/>
    </xf>
    <xf numFmtId="192" fontId="11" fillId="0" borderId="13" xfId="0" applyNumberFormat="1" applyFont="1" applyBorder="1" applyAlignment="1">
      <alignment/>
    </xf>
    <xf numFmtId="188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192" fontId="4" fillId="0" borderId="21" xfId="0" applyNumberFormat="1" applyFont="1" applyBorder="1" applyAlignment="1">
      <alignment/>
    </xf>
    <xf numFmtId="192" fontId="11" fillId="0" borderId="0" xfId="0" applyNumberFormat="1" applyFont="1" applyBorder="1" applyAlignment="1">
      <alignment/>
    </xf>
    <xf numFmtId="192" fontId="4" fillId="0" borderId="26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180" fontId="4" fillId="0" borderId="15" xfId="0" applyNumberFormat="1" applyFont="1" applyBorder="1" applyAlignment="1">
      <alignment/>
    </xf>
    <xf numFmtId="192" fontId="4" fillId="0" borderId="16" xfId="0" applyNumberFormat="1" applyFont="1" applyBorder="1" applyAlignment="1">
      <alignment/>
    </xf>
    <xf numFmtId="16" fontId="6" fillId="0" borderId="12" xfId="0" applyNumberFormat="1" applyFont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182" fontId="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92" fontId="6" fillId="0" borderId="27" xfId="0" applyNumberFormat="1" applyFont="1" applyBorder="1" applyAlignment="1">
      <alignment/>
    </xf>
    <xf numFmtId="192" fontId="6" fillId="0" borderId="28" xfId="0" applyNumberFormat="1" applyFont="1" applyBorder="1" applyAlignment="1">
      <alignment/>
    </xf>
    <xf numFmtId="192" fontId="6" fillId="0" borderId="13" xfId="0" applyNumberFormat="1" applyFont="1" applyBorder="1" applyAlignment="1">
      <alignment/>
    </xf>
    <xf numFmtId="192" fontId="6" fillId="0" borderId="14" xfId="0" applyNumberFormat="1" applyFont="1" applyBorder="1" applyAlignment="1">
      <alignment/>
    </xf>
    <xf numFmtId="192" fontId="4" fillId="0" borderId="26" xfId="0" applyNumberFormat="1" applyFont="1" applyFill="1" applyBorder="1" applyAlignment="1">
      <alignment/>
    </xf>
    <xf numFmtId="164" fontId="4" fillId="0" borderId="0" xfId="0" applyNumberFormat="1" applyFont="1" applyAlignment="1">
      <alignment horizontal="right"/>
    </xf>
    <xf numFmtId="180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203" fontId="4" fillId="0" borderId="0" xfId="0" applyNumberFormat="1" applyFont="1" applyFill="1" applyAlignment="1">
      <alignment/>
    </xf>
    <xf numFmtId="203" fontId="4" fillId="0" borderId="0" xfId="0" applyNumberFormat="1" applyFont="1" applyAlignment="1">
      <alignment/>
    </xf>
    <xf numFmtId="164" fontId="9" fillId="0" borderId="13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Border="1" applyAlignment="1" quotePrefix="1">
      <alignment horizontal="right"/>
    </xf>
    <xf numFmtId="192" fontId="4" fillId="0" borderId="0" xfId="0" applyNumberFormat="1" applyFont="1" applyBorder="1" applyAlignment="1">
      <alignment horizontal="right"/>
    </xf>
    <xf numFmtId="192" fontId="6" fillId="0" borderId="0" xfId="0" applyNumberFormat="1" applyFont="1" applyAlignment="1">
      <alignment/>
    </xf>
    <xf numFmtId="192" fontId="4" fillId="0" borderId="0" xfId="0" applyNumberFormat="1" applyFont="1" applyAlignment="1" quotePrefix="1">
      <alignment horizontal="right"/>
    </xf>
    <xf numFmtId="192" fontId="4" fillId="0" borderId="29" xfId="0" applyNumberFormat="1" applyFont="1" applyBorder="1" applyAlignment="1">
      <alignment/>
    </xf>
    <xf numFmtId="192" fontId="4" fillId="0" borderId="30" xfId="0" applyNumberFormat="1" applyFont="1" applyBorder="1" applyAlignment="1">
      <alignment/>
    </xf>
    <xf numFmtId="164" fontId="10" fillId="0" borderId="22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94" fontId="6" fillId="0" borderId="27" xfId="0" applyNumberFormat="1" applyFont="1" applyBorder="1" applyAlignment="1">
      <alignment/>
    </xf>
    <xf numFmtId="194" fontId="6" fillId="0" borderId="28" xfId="0" applyNumberFormat="1" applyFont="1" applyBorder="1" applyAlignment="1">
      <alignment/>
    </xf>
    <xf numFmtId="164" fontId="10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85" fontId="12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17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94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/>
    </xf>
    <xf numFmtId="190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" fontId="6" fillId="0" borderId="31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/>
    </xf>
    <xf numFmtId="1" fontId="6" fillId="0" borderId="3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90" fontId="16" fillId="0" borderId="32" xfId="0" applyNumberFormat="1" applyFont="1" applyFill="1" applyBorder="1" applyAlignment="1">
      <alignment/>
    </xf>
    <xf numFmtId="190" fontId="13" fillId="0" borderId="0" xfId="0" applyNumberFormat="1" applyFont="1" applyBorder="1" applyAlignment="1">
      <alignment/>
    </xf>
    <xf numFmtId="190" fontId="16" fillId="0" borderId="32" xfId="0" applyNumberFormat="1" applyFont="1" applyFill="1" applyBorder="1" applyAlignment="1">
      <alignment horizontal="center"/>
    </xf>
    <xf numFmtId="190" fontId="16" fillId="0" borderId="0" xfId="0" applyNumberFormat="1" applyFont="1" applyBorder="1" applyAlignment="1">
      <alignment horizontal="center"/>
    </xf>
    <xf numFmtId="190" fontId="16" fillId="0" borderId="33" xfId="0" applyNumberFormat="1" applyFont="1" applyFill="1" applyBorder="1" applyAlignment="1">
      <alignment/>
    </xf>
    <xf numFmtId="0" fontId="13" fillId="0" borderId="0" xfId="0" applyFont="1" applyAlignment="1">
      <alignment/>
    </xf>
    <xf numFmtId="166" fontId="16" fillId="0" borderId="0" xfId="0" applyNumberFormat="1" applyFont="1" applyFill="1" applyBorder="1" applyAlignment="1">
      <alignment/>
    </xf>
    <xf numFmtId="166" fontId="13" fillId="0" borderId="0" xfId="0" applyNumberFormat="1" applyFont="1" applyBorder="1" applyAlignment="1">
      <alignment/>
    </xf>
  </cellXfs>
  <cellStyles count="17">
    <cellStyle name="Normal" xfId="0"/>
    <cellStyle name="Comma" xfId="15"/>
    <cellStyle name="Comma [0]" xfId="16"/>
    <cellStyle name="Dezimal [0]_Mappe1" xfId="17"/>
    <cellStyle name="Dezimal [0]_Wertstoffhof, Aufteilung zus. Deponiegebühren" xfId="18"/>
    <cellStyle name="Dezimal_Mappe1" xfId="19"/>
    <cellStyle name="Dezimal_Wertstoffhof, Aufteilung zus. Deponiegebühren" xfId="20"/>
    <cellStyle name="Percent" xfId="21"/>
    <cellStyle name="Standard_Mappe1" xfId="22"/>
    <cellStyle name="Standard_Wertstoffhof, Aufteilung zus. Deponiegebühren" xfId="23"/>
    <cellStyle name="Currency" xfId="24"/>
    <cellStyle name="Currency [0]" xfId="25"/>
    <cellStyle name="Währung [0]_Mappe1" xfId="26"/>
    <cellStyle name="Währung [0]_Wertstoffhof, Aufteilung zus. Deponiegebühren" xfId="27"/>
    <cellStyle name="Währung EUR" xfId="28"/>
    <cellStyle name="Währung_Mappe1" xfId="29"/>
    <cellStyle name="Währung_Wertstoffhof, Aufteilung zus. Deponiegebühren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208</xdr:row>
      <xdr:rowOff>0</xdr:rowOff>
    </xdr:from>
    <xdr:to>
      <xdr:col>5</xdr:col>
      <xdr:colOff>476250</xdr:colOff>
      <xdr:row>209</xdr:row>
      <xdr:rowOff>0</xdr:rowOff>
    </xdr:to>
    <xdr:sp>
      <xdr:nvSpPr>
        <xdr:cNvPr id="1" name="Line 1"/>
        <xdr:cNvSpPr>
          <a:spLocks/>
        </xdr:cNvSpPr>
      </xdr:nvSpPr>
      <xdr:spPr>
        <a:xfrm>
          <a:off x="4200525" y="366236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819150</xdr:colOff>
      <xdr:row>208</xdr:row>
      <xdr:rowOff>0</xdr:rowOff>
    </xdr:from>
    <xdr:to>
      <xdr:col>6</xdr:col>
      <xdr:colOff>819150</xdr:colOff>
      <xdr:row>209</xdr:row>
      <xdr:rowOff>0</xdr:rowOff>
    </xdr:to>
    <xdr:sp>
      <xdr:nvSpPr>
        <xdr:cNvPr id="2" name="Line 2"/>
        <xdr:cNvSpPr>
          <a:spLocks/>
        </xdr:cNvSpPr>
      </xdr:nvSpPr>
      <xdr:spPr>
        <a:xfrm>
          <a:off x="5362575" y="36623625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8"/>
  <sheetViews>
    <sheetView tabSelected="1" workbookViewId="0" topLeftCell="A1">
      <selection activeCell="C242" sqref="C242"/>
    </sheetView>
  </sheetViews>
  <sheetFormatPr defaultColWidth="11.421875" defaultRowHeight="12.75"/>
  <cols>
    <col min="1" max="1" width="5.7109375" style="2" customWidth="1"/>
    <col min="2" max="2" width="15.57421875" style="2" customWidth="1"/>
    <col min="3" max="3" width="7.8515625" style="2" customWidth="1"/>
    <col min="4" max="4" width="12.00390625" style="2" customWidth="1"/>
    <col min="5" max="5" width="14.7109375" style="2" customWidth="1"/>
    <col min="6" max="6" width="12.28125" style="2" customWidth="1"/>
    <col min="7" max="7" width="17.140625" style="2" customWidth="1"/>
    <col min="8" max="8" width="17.28125" style="2" customWidth="1"/>
    <col min="9" max="9" width="13.57421875" style="2" customWidth="1"/>
    <col min="10" max="16384" width="11.421875" style="2" customWidth="1"/>
  </cols>
  <sheetData>
    <row r="1" spans="1:8" ht="39.75" customHeight="1" thickBot="1">
      <c r="A1" s="1" t="s">
        <v>0</v>
      </c>
      <c r="B1" s="1"/>
      <c r="C1" s="1"/>
      <c r="D1" s="1"/>
      <c r="E1" s="1"/>
      <c r="F1" s="1"/>
      <c r="G1" s="1"/>
      <c r="H1" s="1"/>
    </row>
    <row r="2" spans="1:8" s="7" customFormat="1" ht="15.75">
      <c r="A2" s="3"/>
      <c r="B2" s="4"/>
      <c r="C2" s="4"/>
      <c r="D2" s="4"/>
      <c r="E2" s="4"/>
      <c r="F2" s="4"/>
      <c r="G2" s="5" t="s">
        <v>1</v>
      </c>
      <c r="H2" s="6"/>
    </row>
    <row r="3" spans="1:8" s="7" customFormat="1" ht="17.25">
      <c r="A3" s="8" t="s">
        <v>2</v>
      </c>
      <c r="B3" s="9"/>
      <c r="C3" s="9"/>
      <c r="D3" s="9"/>
      <c r="E3" s="9"/>
      <c r="F3" s="9"/>
      <c r="G3" s="10" t="s">
        <v>3</v>
      </c>
      <c r="H3" s="11" t="s">
        <v>4</v>
      </c>
    </row>
    <row r="4" spans="1:8" ht="16.5" thickBot="1">
      <c r="A4" s="12"/>
      <c r="B4" s="13"/>
      <c r="C4" s="13"/>
      <c r="D4" s="13"/>
      <c r="E4" s="13"/>
      <c r="F4" s="13"/>
      <c r="G4" s="14" t="s">
        <v>5</v>
      </c>
      <c r="H4" s="15" t="s">
        <v>6</v>
      </c>
    </row>
    <row r="5" spans="1:8" s="7" customFormat="1" ht="21" customHeight="1">
      <c r="A5" s="16" t="s">
        <v>7</v>
      </c>
      <c r="B5" s="17" t="s">
        <v>8</v>
      </c>
      <c r="G5" s="18"/>
      <c r="H5" s="19"/>
    </row>
    <row r="6" spans="1:8" s="7" customFormat="1" ht="18" customHeight="1">
      <c r="A6" s="20" t="s">
        <v>9</v>
      </c>
      <c r="B6" s="21" t="s">
        <v>10</v>
      </c>
      <c r="G6" s="18"/>
      <c r="H6" s="19"/>
    </row>
    <row r="7" spans="1:8" ht="12.75">
      <c r="A7" s="22" t="s">
        <v>11</v>
      </c>
      <c r="B7" s="23" t="s">
        <v>12</v>
      </c>
      <c r="G7" s="24"/>
      <c r="H7" s="25"/>
    </row>
    <row r="8" spans="1:8" ht="12.75">
      <c r="A8" s="22"/>
      <c r="B8" s="26">
        <f>4170+50</f>
        <v>4220</v>
      </c>
      <c r="C8" s="27">
        <v>80</v>
      </c>
      <c r="D8" s="28">
        <f>B8*C8</f>
        <v>337600</v>
      </c>
      <c r="E8" s="29">
        <v>13</v>
      </c>
      <c r="G8" s="30">
        <f>D8*E8</f>
        <v>4388800</v>
      </c>
      <c r="H8" s="31"/>
    </row>
    <row r="9" spans="1:8" ht="12.75">
      <c r="A9" s="22"/>
      <c r="B9" s="26">
        <v>3450</v>
      </c>
      <c r="C9" s="27">
        <v>120</v>
      </c>
      <c r="D9" s="28">
        <f>B9*C9</f>
        <v>414000</v>
      </c>
      <c r="E9" s="29">
        <f>$E$8</f>
        <v>13</v>
      </c>
      <c r="G9" s="30">
        <f>D9*E9</f>
        <v>5382000</v>
      </c>
      <c r="H9" s="31"/>
    </row>
    <row r="10" spans="1:8" ht="12.75">
      <c r="A10" s="22"/>
      <c r="B10" s="26">
        <v>1900</v>
      </c>
      <c r="C10" s="27">
        <v>240</v>
      </c>
      <c r="D10" s="28">
        <f>B10*C10</f>
        <v>456000</v>
      </c>
      <c r="E10" s="29">
        <f>$E$8</f>
        <v>13</v>
      </c>
      <c r="G10" s="30">
        <f>D10*E10</f>
        <v>5928000</v>
      </c>
      <c r="H10" s="31"/>
    </row>
    <row r="11" spans="1:8" ht="12.75">
      <c r="A11" s="22"/>
      <c r="B11" s="26">
        <v>12</v>
      </c>
      <c r="C11" s="27">
        <v>1100</v>
      </c>
      <c r="D11" s="28">
        <f>B11*C11</f>
        <v>13200</v>
      </c>
      <c r="E11" s="29">
        <f>$E$8*2</f>
        <v>26</v>
      </c>
      <c r="G11" s="30">
        <f>D11*E11</f>
        <v>343200</v>
      </c>
      <c r="H11" s="31"/>
    </row>
    <row r="12" spans="1:8" ht="12.75">
      <c r="A12" s="22"/>
      <c r="B12" s="32">
        <v>19</v>
      </c>
      <c r="C12" s="27">
        <v>1100</v>
      </c>
      <c r="D12" s="28">
        <f>B12*C12</f>
        <v>20900</v>
      </c>
      <c r="E12" s="29">
        <f>$E$8*4</f>
        <v>52</v>
      </c>
      <c r="G12" s="33">
        <f>D12*E12</f>
        <v>1086800</v>
      </c>
      <c r="H12" s="31"/>
    </row>
    <row r="13" spans="1:8" ht="12.75">
      <c r="A13" s="22"/>
      <c r="B13" s="26">
        <f>SUM(B8:B12)</f>
        <v>9601</v>
      </c>
      <c r="C13" s="27"/>
      <c r="D13" s="28"/>
      <c r="E13" s="29"/>
      <c r="G13" s="30">
        <f>SUM(G8:G12)</f>
        <v>17128800</v>
      </c>
      <c r="H13" s="31"/>
    </row>
    <row r="14" spans="1:8" ht="12.75">
      <c r="A14" s="22"/>
      <c r="B14" s="26"/>
      <c r="C14" s="27"/>
      <c r="D14" s="28"/>
      <c r="E14" s="29"/>
      <c r="G14" s="34">
        <f>ROUND(G13/($G$13+$H$19),4)</f>
        <v>0.8968</v>
      </c>
      <c r="H14" s="31"/>
    </row>
    <row r="15" spans="1:8" ht="12.75">
      <c r="A15" s="22" t="s">
        <v>13</v>
      </c>
      <c r="B15" s="35" t="s">
        <v>14</v>
      </c>
      <c r="C15" s="27"/>
      <c r="D15" s="28"/>
      <c r="E15" s="29"/>
      <c r="G15" s="30"/>
      <c r="H15" s="31"/>
    </row>
    <row r="16" spans="1:8" ht="12.75">
      <c r="A16" s="36"/>
      <c r="B16" s="26">
        <v>230</v>
      </c>
      <c r="C16" s="27">
        <v>80</v>
      </c>
      <c r="D16" s="28">
        <f>B16*C16</f>
        <v>18400</v>
      </c>
      <c r="E16" s="29">
        <f>$E$8</f>
        <v>13</v>
      </c>
      <c r="G16" s="30"/>
      <c r="H16" s="31">
        <f>D16*E16</f>
        <v>239200</v>
      </c>
    </row>
    <row r="17" spans="1:8" ht="12.75">
      <c r="A17" s="36"/>
      <c r="B17" s="26">
        <v>350</v>
      </c>
      <c r="C17" s="27">
        <v>120</v>
      </c>
      <c r="D17" s="28">
        <f>B17*C17</f>
        <v>42000</v>
      </c>
      <c r="E17" s="29">
        <f>$E$8</f>
        <v>13</v>
      </c>
      <c r="G17" s="30"/>
      <c r="H17" s="31">
        <f>D17*E17</f>
        <v>546000</v>
      </c>
    </row>
    <row r="18" spans="1:8" ht="12.75">
      <c r="A18" s="36"/>
      <c r="B18" s="32">
        <v>380</v>
      </c>
      <c r="C18" s="27">
        <v>240</v>
      </c>
      <c r="D18" s="28">
        <f>B18*C18</f>
        <v>91200</v>
      </c>
      <c r="E18" s="29">
        <f>$E$8</f>
        <v>13</v>
      </c>
      <c r="G18" s="30"/>
      <c r="H18" s="37">
        <f>D18*E18</f>
        <v>1185600</v>
      </c>
    </row>
    <row r="19" spans="1:8" ht="12.75">
      <c r="A19" s="36"/>
      <c r="B19" s="38">
        <f>SUM(B16:B18)</f>
        <v>960</v>
      </c>
      <c r="G19" s="24"/>
      <c r="H19" s="31">
        <f>SUM(H16:H18)</f>
        <v>1970800</v>
      </c>
    </row>
    <row r="20" spans="1:8" ht="12.75">
      <c r="A20" s="36"/>
      <c r="G20" s="24"/>
      <c r="H20" s="39">
        <f>1-G14</f>
        <v>0.10319999999999996</v>
      </c>
    </row>
    <row r="21" spans="1:8" ht="12.75">
      <c r="A21" s="36"/>
      <c r="G21" s="24"/>
      <c r="H21" s="39"/>
    </row>
    <row r="22" spans="1:8" ht="12.75">
      <c r="A22" s="20" t="s">
        <v>15</v>
      </c>
      <c r="B22" s="21" t="s">
        <v>16</v>
      </c>
      <c r="G22" s="24"/>
      <c r="H22" s="39"/>
    </row>
    <row r="23" spans="1:8" ht="12.75">
      <c r="A23" s="22" t="s">
        <v>17</v>
      </c>
      <c r="B23" s="2" t="s">
        <v>18</v>
      </c>
      <c r="G23" s="24"/>
      <c r="H23" s="39"/>
    </row>
    <row r="24" spans="1:8" ht="12.75">
      <c r="A24" s="36"/>
      <c r="B24" s="26">
        <v>1600</v>
      </c>
      <c r="C24" s="27">
        <v>120</v>
      </c>
      <c r="D24" s="28">
        <f>B24*C24</f>
        <v>192000</v>
      </c>
      <c r="E24" s="29">
        <f>$E$8</f>
        <v>13</v>
      </c>
      <c r="G24" s="30">
        <f>D24*E24</f>
        <v>2496000</v>
      </c>
      <c r="H24" s="39"/>
    </row>
    <row r="25" spans="1:8" ht="12.75">
      <c r="A25" s="36"/>
      <c r="B25" s="26">
        <v>5300</v>
      </c>
      <c r="C25" s="27">
        <v>240</v>
      </c>
      <c r="D25" s="28">
        <f>B25*C25</f>
        <v>1272000</v>
      </c>
      <c r="E25" s="29">
        <f>$E$8</f>
        <v>13</v>
      </c>
      <c r="G25" s="30">
        <f>D25*E25</f>
        <v>16536000</v>
      </c>
      <c r="H25" s="39"/>
    </row>
    <row r="26" spans="1:8" ht="12.75">
      <c r="A26" s="36"/>
      <c r="B26" s="26">
        <v>20</v>
      </c>
      <c r="C26" s="27">
        <v>1100</v>
      </c>
      <c r="D26" s="28">
        <f>B26*C26</f>
        <v>22000</v>
      </c>
      <c r="E26" s="29">
        <f>$E$8</f>
        <v>13</v>
      </c>
      <c r="G26" s="30">
        <f>D26*E26</f>
        <v>286000</v>
      </c>
      <c r="H26" s="39"/>
    </row>
    <row r="27" spans="1:8" ht="12.75">
      <c r="A27" s="36"/>
      <c r="B27" s="40">
        <f>SUM(B24:B26)</f>
        <v>6920</v>
      </c>
      <c r="G27" s="41">
        <f>SUM(G24:G26)</f>
        <v>19318000</v>
      </c>
      <c r="H27" s="39"/>
    </row>
    <row r="28" spans="1:8" ht="12.75">
      <c r="A28" s="36"/>
      <c r="G28" s="34">
        <f>ROUND(G27/($G$27+$H$33),4)</f>
        <v>0.8691</v>
      </c>
      <c r="H28" s="39"/>
    </row>
    <row r="29" spans="1:8" ht="12.75">
      <c r="A29" s="22" t="s">
        <v>19</v>
      </c>
      <c r="B29" s="2" t="s">
        <v>20</v>
      </c>
      <c r="G29" s="24"/>
      <c r="H29" s="39"/>
    </row>
    <row r="30" spans="1:8" ht="12.75">
      <c r="A30" s="36"/>
      <c r="B30" s="26">
        <v>5</v>
      </c>
      <c r="C30" s="27">
        <v>120</v>
      </c>
      <c r="D30" s="28">
        <f>B30*C30</f>
        <v>600</v>
      </c>
      <c r="E30" s="29">
        <f>$E$8</f>
        <v>13</v>
      </c>
      <c r="G30" s="24"/>
      <c r="H30" s="31">
        <f>D30*E30</f>
        <v>7800</v>
      </c>
    </row>
    <row r="31" spans="1:8" ht="12.75">
      <c r="A31" s="36"/>
      <c r="B31" s="26">
        <v>930</v>
      </c>
      <c r="C31" s="27">
        <v>240</v>
      </c>
      <c r="D31" s="28">
        <f>B31*C31</f>
        <v>223200</v>
      </c>
      <c r="E31" s="29">
        <f>$E$8</f>
        <v>13</v>
      </c>
      <c r="G31" s="24"/>
      <c r="H31" s="31">
        <f>D31*E31</f>
        <v>2901600</v>
      </c>
    </row>
    <row r="32" spans="1:8" ht="12.75">
      <c r="A32" s="36"/>
      <c r="B32" s="26">
        <v>0</v>
      </c>
      <c r="C32" s="27">
        <v>1100</v>
      </c>
      <c r="D32" s="28">
        <f>B32*C32</f>
        <v>0</v>
      </c>
      <c r="E32" s="29">
        <f>$E$8</f>
        <v>13</v>
      </c>
      <c r="G32" s="24"/>
      <c r="H32" s="31">
        <f>D32*E32</f>
        <v>0</v>
      </c>
    </row>
    <row r="33" spans="1:8" ht="12.75">
      <c r="A33" s="36"/>
      <c r="B33" s="40">
        <f>SUM(B30:B32)</f>
        <v>935</v>
      </c>
      <c r="G33" s="24"/>
      <c r="H33" s="42">
        <f>SUM(H30:H32)</f>
        <v>2909400</v>
      </c>
    </row>
    <row r="34" spans="1:8" ht="12.75">
      <c r="A34" s="36"/>
      <c r="G34" s="24"/>
      <c r="H34" s="39">
        <f>1-G28</f>
        <v>0.13090000000000002</v>
      </c>
    </row>
    <row r="35" spans="1:8" s="43" customFormat="1" ht="21" customHeight="1">
      <c r="A35" s="16" t="s">
        <v>21</v>
      </c>
      <c r="B35" s="17" t="s">
        <v>22</v>
      </c>
      <c r="G35" s="44"/>
      <c r="H35" s="45"/>
    </row>
    <row r="36" spans="1:8" s="43" customFormat="1" ht="21" customHeight="1">
      <c r="A36" s="46" t="s">
        <v>23</v>
      </c>
      <c r="B36" s="43" t="s">
        <v>24</v>
      </c>
      <c r="E36" s="47"/>
      <c r="G36" s="44"/>
      <c r="H36" s="45"/>
    </row>
    <row r="37" spans="1:8" s="50" customFormat="1" ht="18" customHeight="1">
      <c r="A37" s="20" t="s">
        <v>9</v>
      </c>
      <c r="B37" s="48" t="s">
        <v>10</v>
      </c>
      <c r="C37" s="49"/>
      <c r="E37" s="51"/>
      <c r="F37" s="52"/>
      <c r="G37" s="53"/>
      <c r="H37" s="54"/>
    </row>
    <row r="38" spans="1:8" ht="18" customHeight="1">
      <c r="A38" s="22" t="s">
        <v>11</v>
      </c>
      <c r="B38" s="2" t="s">
        <v>25</v>
      </c>
      <c r="G38" s="24"/>
      <c r="H38" s="25"/>
    </row>
    <row r="39" spans="1:8" ht="12.75">
      <c r="A39" s="36"/>
      <c r="B39" s="55">
        <f>$B$8</f>
        <v>4220</v>
      </c>
      <c r="C39" s="55">
        <v>80</v>
      </c>
      <c r="D39" s="2" t="s">
        <v>26</v>
      </c>
      <c r="E39" s="56">
        <v>12.95</v>
      </c>
      <c r="F39" s="57">
        <f>ROUND(B39*E39,0)</f>
        <v>54649</v>
      </c>
      <c r="G39" s="24"/>
      <c r="H39" s="25"/>
    </row>
    <row r="40" spans="1:8" ht="12.75">
      <c r="A40" s="36"/>
      <c r="B40" s="55">
        <f>$B$9</f>
        <v>3450</v>
      </c>
      <c r="C40" s="55">
        <v>120</v>
      </c>
      <c r="D40" s="2" t="s">
        <v>26</v>
      </c>
      <c r="E40" s="56">
        <f>$E$39</f>
        <v>12.95</v>
      </c>
      <c r="F40" s="57">
        <f>ROUND(B40*E40,0)</f>
        <v>44678</v>
      </c>
      <c r="G40" s="24"/>
      <c r="H40" s="25"/>
    </row>
    <row r="41" spans="1:8" ht="12.75">
      <c r="A41" s="36"/>
      <c r="B41" s="55">
        <f>$B$10</f>
        <v>1900</v>
      </c>
      <c r="C41" s="55">
        <v>240</v>
      </c>
      <c r="D41" s="2" t="s">
        <v>26</v>
      </c>
      <c r="E41" s="56">
        <v>13.92</v>
      </c>
      <c r="F41" s="57">
        <f>ROUND(B41*E41,0)</f>
        <v>26448</v>
      </c>
      <c r="G41" s="24"/>
      <c r="H41" s="25"/>
    </row>
    <row r="42" spans="1:8" ht="12.75">
      <c r="A42" s="36"/>
      <c r="B42" s="55">
        <f>$B$11</f>
        <v>12</v>
      </c>
      <c r="C42" s="55">
        <v>1100</v>
      </c>
      <c r="D42" s="2" t="s">
        <v>26</v>
      </c>
      <c r="E42" s="56">
        <v>191.47</v>
      </c>
      <c r="F42" s="57">
        <f>ROUND(B42*E42,0)</f>
        <v>2298</v>
      </c>
      <c r="G42" s="24"/>
      <c r="H42" s="25"/>
    </row>
    <row r="43" spans="1:8" ht="12.75">
      <c r="A43" s="36"/>
      <c r="B43" s="55">
        <f>$B$12</f>
        <v>19</v>
      </c>
      <c r="C43" s="55">
        <v>1100</v>
      </c>
      <c r="D43" s="2" t="s">
        <v>26</v>
      </c>
      <c r="E43" s="56">
        <v>357.05</v>
      </c>
      <c r="F43" s="57">
        <f>ROUND(B43*E43,0)</f>
        <v>6784</v>
      </c>
      <c r="G43" s="24"/>
      <c r="H43" s="25"/>
    </row>
    <row r="44" spans="1:8" ht="12.75">
      <c r="A44" s="36"/>
      <c r="B44" s="55" t="s">
        <v>27</v>
      </c>
      <c r="C44" s="55"/>
      <c r="E44" s="58"/>
      <c r="F44" s="59"/>
      <c r="G44" s="57">
        <f>SUM(F39:F43)</f>
        <v>134857</v>
      </c>
      <c r="H44" s="25"/>
    </row>
    <row r="45" spans="1:8" ht="18" customHeight="1">
      <c r="A45" s="22" t="s">
        <v>13</v>
      </c>
      <c r="B45" s="55" t="s">
        <v>28</v>
      </c>
      <c r="C45" s="55"/>
      <c r="E45" s="58"/>
      <c r="G45" s="24"/>
      <c r="H45" s="25"/>
    </row>
    <row r="46" spans="1:8" ht="12.75">
      <c r="A46" s="36"/>
      <c r="B46" s="55">
        <f>$B$16</f>
        <v>230</v>
      </c>
      <c r="C46" s="55">
        <v>80</v>
      </c>
      <c r="D46" s="2" t="s">
        <v>26</v>
      </c>
      <c r="E46" s="56">
        <f>$E$39</f>
        <v>12.95</v>
      </c>
      <c r="F46" s="57">
        <f>ROUND(B46*E46,0)</f>
        <v>2979</v>
      </c>
      <c r="G46" s="24"/>
      <c r="H46" s="25"/>
    </row>
    <row r="47" spans="1:8" ht="12.75">
      <c r="A47" s="36"/>
      <c r="B47" s="55">
        <f>$B$17</f>
        <v>350</v>
      </c>
      <c r="C47" s="55">
        <v>120</v>
      </c>
      <c r="D47" s="2" t="s">
        <v>26</v>
      </c>
      <c r="E47" s="56">
        <f>$E$39</f>
        <v>12.95</v>
      </c>
      <c r="F47" s="57">
        <f>ROUND(B47*E47,0)</f>
        <v>4533</v>
      </c>
      <c r="G47" s="24"/>
      <c r="H47" s="25"/>
    </row>
    <row r="48" spans="1:8" ht="12.75">
      <c r="A48" s="36"/>
      <c r="B48" s="55">
        <f>$B$18</f>
        <v>380</v>
      </c>
      <c r="C48" s="55">
        <v>240</v>
      </c>
      <c r="D48" s="2" t="s">
        <v>26</v>
      </c>
      <c r="E48" s="56">
        <f>$E$41</f>
        <v>13.92</v>
      </c>
      <c r="F48" s="57">
        <f>ROUND(B48*E48,0)</f>
        <v>5290</v>
      </c>
      <c r="G48" s="24"/>
      <c r="H48" s="25"/>
    </row>
    <row r="49" spans="1:8" ht="12.75">
      <c r="A49" s="60"/>
      <c r="B49" s="61" t="s">
        <v>29</v>
      </c>
      <c r="C49" s="61"/>
      <c r="D49" s="62"/>
      <c r="E49" s="62"/>
      <c r="F49" s="62"/>
      <c r="G49" s="63"/>
      <c r="H49" s="64">
        <f>SUM(F46:F48)</f>
        <v>12802</v>
      </c>
    </row>
    <row r="50" spans="1:8" ht="18" customHeight="1">
      <c r="A50" s="22" t="s">
        <v>30</v>
      </c>
      <c r="B50" s="55" t="s">
        <v>31</v>
      </c>
      <c r="C50" s="55"/>
      <c r="G50" s="24"/>
      <c r="H50" s="65"/>
    </row>
    <row r="51" spans="1:8" ht="12.75">
      <c r="A51" s="36"/>
      <c r="B51" s="49">
        <v>2900</v>
      </c>
      <c r="C51" s="55" t="s">
        <v>32</v>
      </c>
      <c r="E51" s="56">
        <v>21.46</v>
      </c>
      <c r="F51" s="57">
        <f>ROUND(B51*E51,0)</f>
        <v>62234</v>
      </c>
      <c r="G51" s="24"/>
      <c r="H51" s="65"/>
    </row>
    <row r="52" spans="1:8" ht="12.75">
      <c r="A52" s="36"/>
      <c r="B52" s="49" t="s">
        <v>33</v>
      </c>
      <c r="C52" s="49"/>
      <c r="D52" s="50"/>
      <c r="E52" s="56"/>
      <c r="F52" s="57"/>
      <c r="G52" s="24"/>
      <c r="H52" s="65"/>
    </row>
    <row r="53" spans="1:8" ht="12.75">
      <c r="A53" s="36"/>
      <c r="B53" s="49" t="s">
        <v>34</v>
      </c>
      <c r="C53" s="49"/>
      <c r="D53" s="50"/>
      <c r="E53" s="56"/>
      <c r="F53" s="57"/>
      <c r="G53" s="24"/>
      <c r="H53" s="65"/>
    </row>
    <row r="54" spans="1:8" ht="12.75">
      <c r="A54" s="36"/>
      <c r="B54" s="2" t="s">
        <v>35</v>
      </c>
      <c r="F54" s="66">
        <f>$G$14</f>
        <v>0.8968</v>
      </c>
      <c r="G54" s="57">
        <f>ROUND(F51*F54,0)</f>
        <v>55811</v>
      </c>
      <c r="H54" s="65"/>
    </row>
    <row r="55" spans="1:8" ht="12.75">
      <c r="A55" s="36"/>
      <c r="B55" s="2" t="s">
        <v>36</v>
      </c>
      <c r="F55" s="67">
        <f>$H$20</f>
        <v>0.10319999999999996</v>
      </c>
      <c r="G55" s="24"/>
      <c r="H55" s="65">
        <f>F51-G54</f>
        <v>6423</v>
      </c>
    </row>
    <row r="56" spans="1:8" ht="18" customHeight="1">
      <c r="A56" s="20" t="s">
        <v>15</v>
      </c>
      <c r="B56" s="21" t="s">
        <v>37</v>
      </c>
      <c r="F56" s="67"/>
      <c r="G56" s="24"/>
      <c r="H56" s="65"/>
    </row>
    <row r="57" spans="1:8" ht="18" customHeight="1">
      <c r="A57" s="22" t="s">
        <v>17</v>
      </c>
      <c r="B57" s="2" t="s">
        <v>38</v>
      </c>
      <c r="C57" s="55"/>
      <c r="G57" s="24"/>
      <c r="H57" s="25"/>
    </row>
    <row r="58" spans="1:8" ht="12.75">
      <c r="A58" s="36"/>
      <c r="B58" s="49">
        <v>2620</v>
      </c>
      <c r="C58" s="55">
        <v>120</v>
      </c>
      <c r="D58" s="2" t="s">
        <v>26</v>
      </c>
      <c r="E58" s="56">
        <v>20.18</v>
      </c>
      <c r="F58" s="57">
        <f>ROUND(B58*E58,0)</f>
        <v>52872</v>
      </c>
      <c r="G58" s="24"/>
      <c r="H58" s="25"/>
    </row>
    <row r="59" spans="1:8" ht="12.75">
      <c r="A59" s="36"/>
      <c r="B59" s="49">
        <v>6350</v>
      </c>
      <c r="C59" s="55">
        <v>240</v>
      </c>
      <c r="D59" s="2" t="s">
        <v>26</v>
      </c>
      <c r="E59" s="56">
        <v>21.16</v>
      </c>
      <c r="F59" s="57">
        <f>ROUND(B59*E59,0)</f>
        <v>134366</v>
      </c>
      <c r="G59" s="24"/>
      <c r="H59" s="25"/>
    </row>
    <row r="60" spans="1:8" ht="12.75">
      <c r="A60" s="36"/>
      <c r="B60" s="68" t="s">
        <v>39</v>
      </c>
      <c r="C60" s="69"/>
      <c r="D60" s="69"/>
      <c r="E60" s="69"/>
      <c r="F60" s="59"/>
      <c r="G60" s="70">
        <f>SUM(F58:F59)</f>
        <v>187238</v>
      </c>
      <c r="H60" s="25"/>
    </row>
    <row r="61" spans="1:8" ht="18" customHeight="1">
      <c r="A61" s="22" t="s">
        <v>19</v>
      </c>
      <c r="B61" s="68" t="s">
        <v>40</v>
      </c>
      <c r="C61" s="69"/>
      <c r="D61" s="69"/>
      <c r="E61" s="69"/>
      <c r="F61" s="69"/>
      <c r="G61" s="71"/>
      <c r="H61" s="25"/>
    </row>
    <row r="62" spans="1:8" ht="12.75">
      <c r="A62" s="36"/>
      <c r="B62" s="49">
        <v>7300</v>
      </c>
      <c r="C62" s="55" t="s">
        <v>32</v>
      </c>
      <c r="D62" s="69"/>
      <c r="E62" s="56">
        <v>6.29</v>
      </c>
      <c r="F62" s="69"/>
      <c r="G62" s="71">
        <f>ROUND(B62*E62,0)</f>
        <v>45917</v>
      </c>
      <c r="H62" s="25"/>
    </row>
    <row r="63" spans="1:8" ht="18" customHeight="1">
      <c r="A63" s="22" t="s">
        <v>41</v>
      </c>
      <c r="B63" s="49" t="s">
        <v>42</v>
      </c>
      <c r="C63" s="55"/>
      <c r="D63" s="69"/>
      <c r="E63" s="69"/>
      <c r="F63" s="69"/>
      <c r="G63" s="71"/>
      <c r="H63" s="25"/>
    </row>
    <row r="64" spans="1:8" ht="12.75" customHeight="1">
      <c r="A64" s="22"/>
      <c r="B64" s="49">
        <v>170</v>
      </c>
      <c r="C64" s="55" t="s">
        <v>32</v>
      </c>
      <c r="D64" s="69" t="s">
        <v>43</v>
      </c>
      <c r="E64" s="69"/>
      <c r="F64" s="56">
        <v>71.78</v>
      </c>
      <c r="G64" s="71">
        <f>ROUND(B64*F64,0)</f>
        <v>12203</v>
      </c>
      <c r="H64" s="25"/>
    </row>
    <row r="65" spans="1:8" ht="12.75" customHeight="1">
      <c r="A65" s="36"/>
      <c r="B65" s="49">
        <f>$B$64</f>
        <v>170</v>
      </c>
      <c r="C65" s="55" t="s">
        <v>32</v>
      </c>
      <c r="D65" s="69" t="s">
        <v>44</v>
      </c>
      <c r="E65" s="56"/>
      <c r="F65" s="56">
        <v>9.64</v>
      </c>
      <c r="G65" s="71">
        <f>ROUND(B65*F65,0)</f>
        <v>1639</v>
      </c>
      <c r="H65" s="25"/>
    </row>
    <row r="66" spans="1:8" ht="18" customHeight="1">
      <c r="A66" s="20" t="s">
        <v>45</v>
      </c>
      <c r="B66" s="48" t="s">
        <v>16</v>
      </c>
      <c r="C66" s="55"/>
      <c r="D66" s="69"/>
      <c r="E66" s="56"/>
      <c r="F66" s="56"/>
      <c r="G66" s="71"/>
      <c r="H66" s="25"/>
    </row>
    <row r="67" spans="1:8" s="69" customFormat="1" ht="18" customHeight="1">
      <c r="A67" s="22" t="s">
        <v>46</v>
      </c>
      <c r="B67" s="68" t="s">
        <v>47</v>
      </c>
      <c r="C67" s="68"/>
      <c r="G67" s="72"/>
      <c r="H67" s="65"/>
    </row>
    <row r="68" spans="1:8" ht="12.75" customHeight="1">
      <c r="A68" s="22"/>
      <c r="B68" s="49">
        <f>$B$24</f>
        <v>1600</v>
      </c>
      <c r="C68" s="55">
        <v>120</v>
      </c>
      <c r="D68" s="2" t="s">
        <v>26</v>
      </c>
      <c r="E68" s="56">
        <v>10.05</v>
      </c>
      <c r="F68" s="57">
        <f>ROUND(B68*E68,0)</f>
        <v>16080</v>
      </c>
      <c r="G68" s="71"/>
      <c r="H68" s="65"/>
    </row>
    <row r="69" spans="1:8" ht="12.75" customHeight="1">
      <c r="A69" s="22"/>
      <c r="B69" s="49">
        <f>$B$25</f>
        <v>5300</v>
      </c>
      <c r="C69" s="55">
        <v>240</v>
      </c>
      <c r="D69" s="2" t="s">
        <v>26</v>
      </c>
      <c r="E69" s="56">
        <v>10.78</v>
      </c>
      <c r="F69" s="57">
        <f>ROUND(B69*E69,0)</f>
        <v>57134</v>
      </c>
      <c r="G69" s="71"/>
      <c r="H69" s="65"/>
    </row>
    <row r="70" spans="1:8" ht="12.75" customHeight="1">
      <c r="A70" s="22"/>
      <c r="B70" s="49">
        <f>$B$26</f>
        <v>20</v>
      </c>
      <c r="C70" s="55">
        <v>1100</v>
      </c>
      <c r="D70" s="2" t="s">
        <v>26</v>
      </c>
      <c r="E70" s="56">
        <v>76.76</v>
      </c>
      <c r="F70" s="57">
        <f>ROUND(B70*E70,0)</f>
        <v>1535</v>
      </c>
      <c r="G70" s="71"/>
      <c r="H70" s="65"/>
    </row>
    <row r="71" spans="1:8" ht="12.75" customHeight="1">
      <c r="A71" s="22"/>
      <c r="B71" s="55" t="s">
        <v>48</v>
      </c>
      <c r="C71" s="55"/>
      <c r="F71" s="57"/>
      <c r="G71" s="71">
        <f>SUM(F68:F70)</f>
        <v>74749</v>
      </c>
      <c r="H71" s="65"/>
    </row>
    <row r="72" spans="1:8" ht="18" customHeight="1">
      <c r="A72" s="22" t="s">
        <v>49</v>
      </c>
      <c r="B72" s="55" t="s">
        <v>50</v>
      </c>
      <c r="C72" s="55"/>
      <c r="F72" s="57"/>
      <c r="G72" s="71"/>
      <c r="H72" s="65"/>
    </row>
    <row r="73" spans="1:8" ht="12.75" customHeight="1">
      <c r="A73" s="22"/>
      <c r="B73" s="49">
        <f>$B$30</f>
        <v>5</v>
      </c>
      <c r="C73" s="55">
        <v>120</v>
      </c>
      <c r="D73" s="2" t="s">
        <v>26</v>
      </c>
      <c r="E73" s="56">
        <f>$E$68</f>
        <v>10.05</v>
      </c>
      <c r="F73" s="57">
        <f>ROUND(B73*E73,0)</f>
        <v>50</v>
      </c>
      <c r="G73" s="71"/>
      <c r="H73" s="65"/>
    </row>
    <row r="74" spans="1:8" ht="12.75" customHeight="1">
      <c r="A74" s="22"/>
      <c r="B74" s="49">
        <f>$B$31</f>
        <v>930</v>
      </c>
      <c r="C74" s="55">
        <v>240</v>
      </c>
      <c r="D74" s="2" t="s">
        <v>26</v>
      </c>
      <c r="E74" s="56">
        <f>$E$69</f>
        <v>10.78</v>
      </c>
      <c r="F74" s="57">
        <f>ROUND(B74*E74,0)</f>
        <v>10025</v>
      </c>
      <c r="G74" s="71"/>
      <c r="H74" s="65"/>
    </row>
    <row r="75" spans="1:8" ht="12.75" customHeight="1">
      <c r="A75" s="22"/>
      <c r="B75" s="49">
        <f>$B$32</f>
        <v>0</v>
      </c>
      <c r="C75" s="55">
        <v>1100</v>
      </c>
      <c r="D75" s="2" t="s">
        <v>26</v>
      </c>
      <c r="E75" s="56">
        <f>$E$70</f>
        <v>76.76</v>
      </c>
      <c r="F75" s="57">
        <f>ROUND(B75*E75,0)</f>
        <v>0</v>
      </c>
      <c r="G75" s="71"/>
      <c r="H75" s="65"/>
    </row>
    <row r="76" spans="1:8" ht="12.75" customHeight="1">
      <c r="A76" s="22"/>
      <c r="B76" s="55" t="s">
        <v>51</v>
      </c>
      <c r="C76" s="55"/>
      <c r="G76" s="71"/>
      <c r="H76" s="65">
        <f>SUM(F73:F75)</f>
        <v>10075</v>
      </c>
    </row>
    <row r="77" spans="1:8" ht="18" customHeight="1">
      <c r="A77" s="22" t="s">
        <v>52</v>
      </c>
      <c r="B77" s="55" t="s">
        <v>53</v>
      </c>
      <c r="C77" s="55"/>
      <c r="G77" s="24"/>
      <c r="H77" s="65"/>
    </row>
    <row r="78" spans="1:8" ht="12.75" customHeight="1">
      <c r="A78" s="22"/>
      <c r="B78" s="49">
        <v>1800</v>
      </c>
      <c r="C78" s="55" t="s">
        <v>32</v>
      </c>
      <c r="E78" s="56">
        <v>11.19</v>
      </c>
      <c r="F78" s="57">
        <f>ROUND(B78*E78,0)</f>
        <v>20142</v>
      </c>
      <c r="G78" s="24"/>
      <c r="H78" s="65"/>
    </row>
    <row r="79" spans="1:8" ht="12.75" customHeight="1">
      <c r="A79" s="22"/>
      <c r="B79" s="49" t="s">
        <v>54</v>
      </c>
      <c r="C79" s="49"/>
      <c r="D79" s="50"/>
      <c r="E79" s="56"/>
      <c r="F79" s="57"/>
      <c r="G79" s="24"/>
      <c r="H79" s="65"/>
    </row>
    <row r="80" spans="1:8" ht="12.75" customHeight="1">
      <c r="A80" s="22"/>
      <c r="B80" s="49" t="s">
        <v>34</v>
      </c>
      <c r="C80" s="49"/>
      <c r="D80" s="50"/>
      <c r="E80" s="56"/>
      <c r="F80" s="57"/>
      <c r="G80" s="24"/>
      <c r="H80" s="65"/>
    </row>
    <row r="81" spans="1:8" ht="12.75" customHeight="1">
      <c r="A81" s="22"/>
      <c r="B81" s="2" t="s">
        <v>55</v>
      </c>
      <c r="F81" s="66">
        <f>$G$28</f>
        <v>0.8691</v>
      </c>
      <c r="G81" s="71">
        <f>ROUND(F78*F81,0)</f>
        <v>17505</v>
      </c>
      <c r="H81" s="65"/>
    </row>
    <row r="82" spans="1:8" ht="12.75" customHeight="1">
      <c r="A82" s="22"/>
      <c r="B82" s="2" t="s">
        <v>56</v>
      </c>
      <c r="F82" s="67">
        <f>$H$34</f>
        <v>0.13090000000000002</v>
      </c>
      <c r="G82" s="24"/>
      <c r="H82" s="65">
        <f>F78-G81</f>
        <v>2637</v>
      </c>
    </row>
    <row r="83" spans="1:8" ht="18" customHeight="1">
      <c r="A83" s="22" t="s">
        <v>57</v>
      </c>
      <c r="B83" s="55" t="s">
        <v>58</v>
      </c>
      <c r="C83" s="55"/>
      <c r="G83" s="24"/>
      <c r="H83" s="65"/>
    </row>
    <row r="84" spans="1:8" ht="12.75" customHeight="1">
      <c r="A84" s="22"/>
      <c r="B84" s="55" t="s">
        <v>59</v>
      </c>
      <c r="C84" s="55"/>
      <c r="G84" s="24"/>
      <c r="H84" s="65"/>
    </row>
    <row r="85" spans="1:8" ht="12.75" customHeight="1">
      <c r="A85" s="22"/>
      <c r="B85" s="49">
        <v>150</v>
      </c>
      <c r="C85" s="55">
        <v>35</v>
      </c>
      <c r="D85" s="2" t="s">
        <v>60</v>
      </c>
      <c r="E85" s="56">
        <v>55.27</v>
      </c>
      <c r="F85" s="57">
        <f>ROUND(B85*E85,2)</f>
        <v>8290.5</v>
      </c>
      <c r="G85" s="24"/>
      <c r="H85" s="65"/>
    </row>
    <row r="86" spans="1:8" ht="12.75" customHeight="1">
      <c r="A86" s="22"/>
      <c r="B86" s="49" t="s">
        <v>61</v>
      </c>
      <c r="C86" s="49"/>
      <c r="D86" s="50"/>
      <c r="E86" s="56"/>
      <c r="F86" s="57"/>
      <c r="G86" s="24"/>
      <c r="H86" s="65"/>
    </row>
    <row r="87" spans="1:8" ht="12.75" customHeight="1">
      <c r="A87" s="22"/>
      <c r="B87" s="49">
        <v>530</v>
      </c>
      <c r="C87" s="55" t="s">
        <v>32</v>
      </c>
      <c r="E87" s="56">
        <v>18.85</v>
      </c>
      <c r="F87" s="57">
        <f>ROUND(B87*E87,2)</f>
        <v>9990.5</v>
      </c>
      <c r="G87" s="24"/>
      <c r="H87" s="65"/>
    </row>
    <row r="88" spans="1:8" ht="12.75" customHeight="1">
      <c r="A88" s="22"/>
      <c r="B88" s="55"/>
      <c r="C88" s="55"/>
      <c r="F88" s="73">
        <f>SUM(F85,F87)</f>
        <v>18281</v>
      </c>
      <c r="G88" s="24"/>
      <c r="H88" s="65"/>
    </row>
    <row r="89" spans="1:8" ht="12.75" customHeight="1">
      <c r="A89" s="22"/>
      <c r="B89" s="49" t="s">
        <v>33</v>
      </c>
      <c r="C89" s="49"/>
      <c r="D89" s="50"/>
      <c r="E89" s="56"/>
      <c r="F89" s="57"/>
      <c r="G89" s="24"/>
      <c r="H89" s="65"/>
    </row>
    <row r="90" spans="1:8" ht="12.75" customHeight="1">
      <c r="A90" s="22"/>
      <c r="B90" s="49" t="s">
        <v>34</v>
      </c>
      <c r="C90" s="49"/>
      <c r="D90" s="50"/>
      <c r="E90" s="56"/>
      <c r="F90" s="57"/>
      <c r="G90" s="24"/>
      <c r="H90" s="65"/>
    </row>
    <row r="91" spans="1:8" ht="12.75" customHeight="1">
      <c r="A91" s="22"/>
      <c r="B91" s="2" t="s">
        <v>35</v>
      </c>
      <c r="F91" s="66">
        <f>$G$14</f>
        <v>0.8968</v>
      </c>
      <c r="G91" s="71">
        <f>ROUND(F88*F91,0)</f>
        <v>16394</v>
      </c>
      <c r="H91" s="65"/>
    </row>
    <row r="92" spans="1:8" ht="12.75" customHeight="1">
      <c r="A92" s="22"/>
      <c r="B92" s="2" t="s">
        <v>36</v>
      </c>
      <c r="F92" s="67">
        <f>$H$20</f>
        <v>0.10319999999999996</v>
      </c>
      <c r="G92" s="24"/>
      <c r="H92" s="65">
        <f>F88-G91</f>
        <v>1887</v>
      </c>
    </row>
    <row r="93" spans="1:8" ht="18" customHeight="1">
      <c r="A93" s="22" t="s">
        <v>62</v>
      </c>
      <c r="B93" s="2" t="s">
        <v>63</v>
      </c>
      <c r="F93" s="67"/>
      <c r="G93" s="24"/>
      <c r="H93" s="65"/>
    </row>
    <row r="94" spans="1:8" ht="12.75" customHeight="1">
      <c r="A94" s="22"/>
      <c r="B94" s="2" t="s">
        <v>64</v>
      </c>
      <c r="F94" s="67"/>
      <c r="G94" s="24"/>
      <c r="H94" s="65"/>
    </row>
    <row r="95" spans="1:8" ht="12.75" customHeight="1">
      <c r="A95" s="22"/>
      <c r="B95" s="2" t="s">
        <v>65</v>
      </c>
      <c r="F95" s="67"/>
      <c r="G95" s="24"/>
      <c r="H95" s="65"/>
    </row>
    <row r="96" spans="1:8" ht="12.75" customHeight="1">
      <c r="A96" s="22"/>
      <c r="B96" s="49">
        <v>1600</v>
      </c>
      <c r="C96" s="55">
        <v>120</v>
      </c>
      <c r="D96" s="2" t="s">
        <v>26</v>
      </c>
      <c r="E96" s="56">
        <v>2.18</v>
      </c>
      <c r="F96" s="57">
        <f>ROUND(B96*E96,0)</f>
        <v>3488</v>
      </c>
      <c r="G96" s="24"/>
      <c r="H96" s="65"/>
    </row>
    <row r="97" spans="1:8" ht="12.75" customHeight="1">
      <c r="A97" s="22"/>
      <c r="B97" s="49">
        <v>4800</v>
      </c>
      <c r="C97" s="55">
        <v>240</v>
      </c>
      <c r="D97" s="2" t="s">
        <v>26</v>
      </c>
      <c r="E97" s="56">
        <f>$E$96</f>
        <v>2.18</v>
      </c>
      <c r="F97" s="57">
        <f>ROUND(B97*E97,0)</f>
        <v>10464</v>
      </c>
      <c r="G97" s="24"/>
      <c r="H97" s="65"/>
    </row>
    <row r="98" spans="1:8" ht="12.75" customHeight="1">
      <c r="A98" s="22"/>
      <c r="B98" s="49">
        <v>20</v>
      </c>
      <c r="C98" s="55">
        <v>1100</v>
      </c>
      <c r="D98" s="2" t="s">
        <v>26</v>
      </c>
      <c r="E98" s="56">
        <v>6.53</v>
      </c>
      <c r="F98" s="57">
        <f>ROUND(B98*E98,0)</f>
        <v>131</v>
      </c>
      <c r="G98" s="24"/>
      <c r="H98" s="65"/>
    </row>
    <row r="99" spans="1:8" ht="12.75" customHeight="1">
      <c r="A99" s="74"/>
      <c r="B99" s="61" t="s">
        <v>66</v>
      </c>
      <c r="C99" s="61"/>
      <c r="D99" s="62"/>
      <c r="E99" s="62"/>
      <c r="F99" s="62"/>
      <c r="G99" s="75">
        <f>SUM(F96:F98)</f>
        <v>14083</v>
      </c>
      <c r="H99" s="64"/>
    </row>
    <row r="100" spans="1:8" ht="18" customHeight="1">
      <c r="A100" s="20" t="s">
        <v>67</v>
      </c>
      <c r="B100" s="76" t="s">
        <v>68</v>
      </c>
      <c r="G100" s="24"/>
      <c r="H100" s="25"/>
    </row>
    <row r="101" spans="1:8" ht="12.75">
      <c r="A101" s="36"/>
      <c r="B101" s="2" t="s">
        <v>69</v>
      </c>
      <c r="G101" s="24"/>
      <c r="H101" s="25"/>
    </row>
    <row r="102" spans="1:8" ht="12.75">
      <c r="A102" s="36"/>
      <c r="B102" s="2" t="s">
        <v>70</v>
      </c>
      <c r="G102" s="24"/>
      <c r="H102" s="25"/>
    </row>
    <row r="103" spans="1:8" ht="18" customHeight="1">
      <c r="A103" s="36"/>
      <c r="B103" s="2" t="s">
        <v>71</v>
      </c>
      <c r="C103" s="77"/>
      <c r="D103" s="78">
        <v>1763</v>
      </c>
      <c r="E103" s="56">
        <v>58</v>
      </c>
      <c r="F103" s="79">
        <f>ROUND(D103*E103,0)</f>
        <v>102254</v>
      </c>
      <c r="G103" s="24"/>
      <c r="H103" s="25"/>
    </row>
    <row r="104" spans="1:8" ht="12.75">
      <c r="A104" s="36"/>
      <c r="B104" s="50" t="s">
        <v>72</v>
      </c>
      <c r="C104" s="77"/>
      <c r="D104" s="80">
        <v>1000</v>
      </c>
      <c r="E104" s="56">
        <v>5.8</v>
      </c>
      <c r="F104" s="79">
        <f>ROUND(D104*E104,0)</f>
        <v>5800</v>
      </c>
      <c r="G104" s="24"/>
      <c r="H104" s="25"/>
    </row>
    <row r="105" spans="1:8" ht="12.75">
      <c r="A105" s="36"/>
      <c r="B105" s="50" t="s">
        <v>73</v>
      </c>
      <c r="C105" s="77"/>
      <c r="D105" s="80">
        <v>5</v>
      </c>
      <c r="E105" s="56">
        <v>17.4</v>
      </c>
      <c r="F105" s="79">
        <f>ROUND(D105*E105,0)</f>
        <v>87</v>
      </c>
      <c r="G105" s="24"/>
      <c r="H105" s="25"/>
    </row>
    <row r="106" spans="1:8" ht="12.75" customHeight="1">
      <c r="A106" s="36"/>
      <c r="B106" s="2" t="s">
        <v>74</v>
      </c>
      <c r="C106" s="77"/>
      <c r="F106" s="81">
        <v>11136</v>
      </c>
      <c r="G106" s="24"/>
      <c r="H106" s="25"/>
    </row>
    <row r="107" spans="1:8" ht="12.75">
      <c r="A107" s="36"/>
      <c r="B107" s="2" t="s">
        <v>75</v>
      </c>
      <c r="C107" s="77"/>
      <c r="F107" s="81">
        <v>3000</v>
      </c>
      <c r="G107" s="24"/>
      <c r="H107" s="25"/>
    </row>
    <row r="108" spans="1:8" ht="12.75">
      <c r="A108" s="36"/>
      <c r="B108" s="2" t="s">
        <v>76</v>
      </c>
      <c r="C108" s="77"/>
      <c r="F108" s="81">
        <v>500</v>
      </c>
      <c r="G108" s="24"/>
      <c r="H108" s="25"/>
    </row>
    <row r="109" spans="1:8" ht="12.75">
      <c r="A109" s="36"/>
      <c r="B109" s="2" t="s">
        <v>77</v>
      </c>
      <c r="C109" s="77"/>
      <c r="F109" s="82">
        <v>71000</v>
      </c>
      <c r="G109" s="24"/>
      <c r="H109" s="25"/>
    </row>
    <row r="110" spans="1:8" ht="12.75">
      <c r="A110" s="36"/>
      <c r="F110" s="83">
        <f>SUM(F103:F109)</f>
        <v>193777</v>
      </c>
      <c r="G110" s="24"/>
      <c r="H110" s="25"/>
    </row>
    <row r="111" spans="1:8" ht="12.75">
      <c r="A111" s="36"/>
      <c r="F111" s="83"/>
      <c r="G111" s="69"/>
      <c r="H111" s="25"/>
    </row>
    <row r="112" spans="1:8" ht="18" customHeight="1">
      <c r="A112" s="36"/>
      <c r="B112" s="2" t="s">
        <v>35</v>
      </c>
      <c r="F112" s="66">
        <f>$G$14</f>
        <v>0.8968</v>
      </c>
      <c r="G112" s="57">
        <f>ROUND(F110*F112,0)</f>
        <v>173779</v>
      </c>
      <c r="H112" s="25"/>
    </row>
    <row r="113" spans="1:8" ht="12.75">
      <c r="A113" s="36"/>
      <c r="B113" s="2" t="s">
        <v>36</v>
      </c>
      <c r="F113" s="67">
        <f>$H$20</f>
        <v>0.10319999999999996</v>
      </c>
      <c r="G113" s="24"/>
      <c r="H113" s="65">
        <f>F110-G112</f>
        <v>19998</v>
      </c>
    </row>
    <row r="114" spans="1:8" s="43" customFormat="1" ht="21" customHeight="1">
      <c r="A114" s="46" t="s">
        <v>78</v>
      </c>
      <c r="B114" s="84" t="s">
        <v>79</v>
      </c>
      <c r="C114" s="84"/>
      <c r="D114" s="84"/>
      <c r="E114" s="84"/>
      <c r="F114" s="84"/>
      <c r="G114" s="44"/>
      <c r="H114" s="45"/>
    </row>
    <row r="115" spans="1:8" ht="18" customHeight="1">
      <c r="A115" s="20" t="s">
        <v>9</v>
      </c>
      <c r="B115" s="21" t="s">
        <v>80</v>
      </c>
      <c r="C115" s="77"/>
      <c r="D115" s="77"/>
      <c r="E115" s="77"/>
      <c r="G115" s="24"/>
      <c r="H115" s="25"/>
    </row>
    <row r="116" spans="1:8" ht="12.75">
      <c r="A116" s="36"/>
      <c r="B116" s="77" t="s">
        <v>81</v>
      </c>
      <c r="G116" s="24"/>
      <c r="H116" s="25"/>
    </row>
    <row r="117" spans="1:8" ht="12.75">
      <c r="A117" s="36"/>
      <c r="B117" s="77" t="s">
        <v>82</v>
      </c>
      <c r="G117" s="24"/>
      <c r="H117" s="25"/>
    </row>
    <row r="118" spans="1:8" ht="12.75">
      <c r="A118" s="36"/>
      <c r="B118" s="77" t="s">
        <v>83</v>
      </c>
      <c r="G118" s="24"/>
      <c r="H118" s="25"/>
    </row>
    <row r="119" spans="1:8" ht="12.75">
      <c r="A119" s="36"/>
      <c r="B119" s="77" t="s">
        <v>84</v>
      </c>
      <c r="G119" s="24"/>
      <c r="H119" s="25"/>
    </row>
    <row r="120" spans="1:8" ht="12.75">
      <c r="A120" s="36"/>
      <c r="B120" s="77" t="s">
        <v>85</v>
      </c>
      <c r="G120" s="24"/>
      <c r="H120" s="25"/>
    </row>
    <row r="121" spans="1:8" s="50" customFormat="1" ht="12.75">
      <c r="A121" s="85"/>
      <c r="B121" s="86" t="s">
        <v>86</v>
      </c>
      <c r="C121" s="49"/>
      <c r="D121" s="49">
        <v>8129</v>
      </c>
      <c r="E121" s="56">
        <v>18.4</v>
      </c>
      <c r="F121" s="81">
        <f>ROUND(D121*E121,0)</f>
        <v>149574</v>
      </c>
      <c r="G121" s="53"/>
      <c r="H121" s="54"/>
    </row>
    <row r="122" spans="1:8" s="50" customFormat="1" ht="12.75">
      <c r="A122" s="85"/>
      <c r="B122" s="86" t="s">
        <v>87</v>
      </c>
      <c r="C122" s="49"/>
      <c r="D122" s="49">
        <v>2277</v>
      </c>
      <c r="E122" s="56">
        <v>36.8</v>
      </c>
      <c r="F122" s="81">
        <f>ROUND(D122*E122,0)</f>
        <v>83794</v>
      </c>
      <c r="G122" s="53"/>
      <c r="H122" s="54"/>
    </row>
    <row r="123" spans="1:8" s="50" customFormat="1" ht="12.75">
      <c r="A123" s="85"/>
      <c r="B123" s="86" t="s">
        <v>88</v>
      </c>
      <c r="C123" s="49"/>
      <c r="D123" s="49">
        <v>34</v>
      </c>
      <c r="E123" s="56">
        <v>184</v>
      </c>
      <c r="F123" s="82">
        <f>ROUND(D123*E123,0)</f>
        <v>6256</v>
      </c>
      <c r="G123" s="53"/>
      <c r="H123" s="54"/>
    </row>
    <row r="124" spans="1:8" ht="12.75">
      <c r="A124" s="36"/>
      <c r="B124" s="2" t="s">
        <v>89</v>
      </c>
      <c r="F124" s="81">
        <f>SUM(F121:F123)</f>
        <v>239624</v>
      </c>
      <c r="G124" s="24"/>
      <c r="H124" s="25"/>
    </row>
    <row r="125" spans="1:8" ht="12.75">
      <c r="A125" s="36"/>
      <c r="B125" s="2" t="s">
        <v>90</v>
      </c>
      <c r="F125" s="81"/>
      <c r="G125" s="24"/>
      <c r="H125" s="25"/>
    </row>
    <row r="126" spans="1:8" ht="12.75">
      <c r="A126" s="36"/>
      <c r="B126" s="2" t="s">
        <v>91</v>
      </c>
      <c r="G126" s="24"/>
      <c r="H126" s="25"/>
    </row>
    <row r="127" spans="1:8" ht="12.75">
      <c r="A127" s="36"/>
      <c r="B127" s="2" t="s">
        <v>92</v>
      </c>
      <c r="D127" s="87">
        <v>2900</v>
      </c>
      <c r="E127" s="88">
        <v>143</v>
      </c>
      <c r="F127" s="89">
        <f>ROUND(D127*E127,0)</f>
        <v>414700</v>
      </c>
      <c r="G127" s="24"/>
      <c r="H127" s="25"/>
    </row>
    <row r="128" spans="1:8" ht="12.75">
      <c r="A128" s="36"/>
      <c r="B128" s="2" t="s">
        <v>93</v>
      </c>
      <c r="D128" s="90"/>
      <c r="E128" s="91"/>
      <c r="F128" s="83">
        <f>SUM(F124:F127)</f>
        <v>654324</v>
      </c>
      <c r="G128" s="24"/>
      <c r="H128" s="25"/>
    </row>
    <row r="129" spans="1:8" ht="12.75">
      <c r="A129" s="36"/>
      <c r="B129" s="2" t="s">
        <v>94</v>
      </c>
      <c r="D129" s="90"/>
      <c r="E129" s="91"/>
      <c r="G129" s="24"/>
      <c r="H129" s="25"/>
    </row>
    <row r="130" spans="1:8" ht="12.75">
      <c r="A130" s="36"/>
      <c r="B130" s="2" t="s">
        <v>95</v>
      </c>
      <c r="D130" s="90"/>
      <c r="E130" s="91"/>
      <c r="G130" s="24"/>
      <c r="H130" s="25"/>
    </row>
    <row r="131" spans="1:8" ht="12.75">
      <c r="A131" s="36"/>
      <c r="B131" s="2" t="s">
        <v>35</v>
      </c>
      <c r="F131" s="67">
        <f>$G$14</f>
        <v>0.8968</v>
      </c>
      <c r="G131" s="92">
        <f>ROUND($F$128*$F131,0)</f>
        <v>586798</v>
      </c>
      <c r="H131" s="25"/>
    </row>
    <row r="132" spans="1:8" ht="12.75">
      <c r="A132" s="36"/>
      <c r="B132" s="2" t="s">
        <v>36</v>
      </c>
      <c r="F132" s="67">
        <f>$H$20</f>
        <v>0.10319999999999996</v>
      </c>
      <c r="G132" s="24"/>
      <c r="H132" s="65">
        <f>F128-G131</f>
        <v>67526</v>
      </c>
    </row>
    <row r="133" spans="1:8" ht="18" customHeight="1">
      <c r="A133" s="20" t="s">
        <v>15</v>
      </c>
      <c r="B133" s="21" t="s">
        <v>96</v>
      </c>
      <c r="G133" s="24"/>
      <c r="H133" s="25"/>
    </row>
    <row r="134" spans="1:8" ht="12.75">
      <c r="A134" s="36"/>
      <c r="B134" s="2" t="s">
        <v>97</v>
      </c>
      <c r="G134" s="24"/>
      <c r="H134" s="25"/>
    </row>
    <row r="135" spans="1:8" ht="12.75">
      <c r="A135" s="36"/>
      <c r="B135" s="2" t="s">
        <v>98</v>
      </c>
      <c r="G135" s="24"/>
      <c r="H135" s="25"/>
    </row>
    <row r="136" spans="1:8" ht="12.75">
      <c r="A136" s="36"/>
      <c r="B136" s="69"/>
      <c r="C136" s="69"/>
      <c r="D136" s="78">
        <f>7300+170</f>
        <v>7470</v>
      </c>
      <c r="E136" s="93">
        <v>94.6</v>
      </c>
      <c r="F136" s="94"/>
      <c r="G136" s="92">
        <f>ROUND(D136*E136,0)</f>
        <v>706662</v>
      </c>
      <c r="H136" s="25"/>
    </row>
    <row r="137" spans="1:8" ht="12.75">
      <c r="A137" s="20" t="s">
        <v>45</v>
      </c>
      <c r="B137" s="95" t="s">
        <v>16</v>
      </c>
      <c r="C137" s="69"/>
      <c r="D137" s="78"/>
      <c r="E137" s="93"/>
      <c r="F137" s="94"/>
      <c r="G137" s="92"/>
      <c r="H137" s="25"/>
    </row>
    <row r="138" spans="1:8" ht="12.75">
      <c r="A138" s="36"/>
      <c r="B138" s="69" t="s">
        <v>99</v>
      </c>
      <c r="C138" s="69"/>
      <c r="D138" s="78"/>
      <c r="E138" s="93"/>
      <c r="F138" s="94"/>
      <c r="G138" s="92"/>
      <c r="H138" s="25"/>
    </row>
    <row r="139" spans="1:8" ht="12.75">
      <c r="A139" s="36"/>
      <c r="B139" s="69" t="s">
        <v>100</v>
      </c>
      <c r="C139" s="69"/>
      <c r="D139" s="78"/>
      <c r="E139" s="93"/>
      <c r="F139" s="94"/>
      <c r="G139" s="92">
        <v>0</v>
      </c>
      <c r="H139" s="65">
        <v>0</v>
      </c>
    </row>
    <row r="140" spans="1:8" s="69" customFormat="1" ht="18" customHeight="1">
      <c r="A140" s="20" t="s">
        <v>67</v>
      </c>
      <c r="B140" s="95" t="s">
        <v>101</v>
      </c>
      <c r="D140" s="78"/>
      <c r="E140" s="96"/>
      <c r="F140" s="94"/>
      <c r="G140" s="97"/>
      <c r="H140" s="25"/>
    </row>
    <row r="141" spans="1:8" ht="12.75" customHeight="1">
      <c r="A141" s="22"/>
      <c r="B141" s="69" t="s">
        <v>102</v>
      </c>
      <c r="C141" s="69"/>
      <c r="D141" s="78">
        <v>430</v>
      </c>
      <c r="E141" s="93">
        <f>143+16.25</f>
        <v>159.25</v>
      </c>
      <c r="F141" s="94">
        <f aca="true" t="shared" si="0" ref="F141:F148">ROUND(D141*E141,0)</f>
        <v>68478</v>
      </c>
      <c r="G141" s="97"/>
      <c r="H141" s="25"/>
    </row>
    <row r="142" spans="1:8" ht="12.75" customHeight="1">
      <c r="A142" s="36"/>
      <c r="B142" s="69" t="s">
        <v>103</v>
      </c>
      <c r="C142" s="69"/>
      <c r="D142" s="98">
        <v>900</v>
      </c>
      <c r="E142" s="99">
        <v>8.2</v>
      </c>
      <c r="F142" s="94">
        <f t="shared" si="0"/>
        <v>7380</v>
      </c>
      <c r="G142" s="97"/>
      <c r="H142" s="25"/>
    </row>
    <row r="143" spans="1:8" ht="12.75">
      <c r="A143" s="36"/>
      <c r="B143" s="69" t="s">
        <v>104</v>
      </c>
      <c r="C143" s="69"/>
      <c r="D143" s="78">
        <v>460</v>
      </c>
      <c r="E143" s="93">
        <v>34.2</v>
      </c>
      <c r="F143" s="94">
        <f t="shared" si="0"/>
        <v>15732</v>
      </c>
      <c r="G143" s="97"/>
      <c r="H143" s="25"/>
    </row>
    <row r="144" spans="1:8" ht="12.75">
      <c r="A144" s="36"/>
      <c r="B144" s="69" t="s">
        <v>105</v>
      </c>
      <c r="C144" s="69"/>
      <c r="D144" s="78">
        <v>85</v>
      </c>
      <c r="E144" s="93">
        <v>99.15</v>
      </c>
      <c r="F144" s="100">
        <f t="shared" si="0"/>
        <v>8428</v>
      </c>
      <c r="G144" s="101"/>
      <c r="H144" s="25"/>
    </row>
    <row r="145" spans="1:8" ht="12.75">
      <c r="A145" s="36"/>
      <c r="B145" s="69" t="s">
        <v>106</v>
      </c>
      <c r="C145" s="69"/>
      <c r="D145" s="78">
        <v>100</v>
      </c>
      <c r="E145" s="93">
        <v>87.9</v>
      </c>
      <c r="F145" s="100">
        <f t="shared" si="0"/>
        <v>8790</v>
      </c>
      <c r="G145" s="101"/>
      <c r="H145" s="25"/>
    </row>
    <row r="146" spans="1:8" ht="12.75">
      <c r="A146" s="36"/>
      <c r="B146" s="69" t="s">
        <v>107</v>
      </c>
      <c r="C146" s="69"/>
      <c r="D146" s="78">
        <v>650</v>
      </c>
      <c r="E146" s="93">
        <v>94.6</v>
      </c>
      <c r="F146" s="100">
        <f t="shared" si="0"/>
        <v>61490</v>
      </c>
      <c r="G146" s="101"/>
      <c r="H146" s="25"/>
    </row>
    <row r="147" spans="1:8" ht="12.75">
      <c r="A147" s="36"/>
      <c r="B147" s="69" t="s">
        <v>108</v>
      </c>
      <c r="C147" s="69"/>
      <c r="D147" s="78">
        <v>10</v>
      </c>
      <c r="E147" s="93">
        <v>143</v>
      </c>
      <c r="F147" s="100">
        <f t="shared" si="0"/>
        <v>1430</v>
      </c>
      <c r="G147" s="101"/>
      <c r="H147" s="25"/>
    </row>
    <row r="148" spans="1:8" ht="12.75">
      <c r="A148" s="36"/>
      <c r="B148" s="69" t="s">
        <v>109</v>
      </c>
      <c r="C148" s="69"/>
      <c r="D148" s="78">
        <v>50</v>
      </c>
      <c r="E148" s="93">
        <v>69.6</v>
      </c>
      <c r="F148" s="102">
        <f t="shared" si="0"/>
        <v>3480</v>
      </c>
      <c r="G148" s="97"/>
      <c r="H148" s="25"/>
    </row>
    <row r="149" spans="1:8" ht="12.75">
      <c r="A149" s="36"/>
      <c r="B149" s="69"/>
      <c r="C149" s="69"/>
      <c r="D149" s="103"/>
      <c r="E149" s="104"/>
      <c r="F149" s="94">
        <f>SUM(F141:F148)</f>
        <v>175208</v>
      </c>
      <c r="G149" s="97"/>
      <c r="H149" s="25"/>
    </row>
    <row r="150" spans="1:8" ht="12.75">
      <c r="A150" s="36"/>
      <c r="B150" s="2" t="s">
        <v>110</v>
      </c>
      <c r="D150" s="90"/>
      <c r="E150" s="91"/>
      <c r="G150" s="24"/>
      <c r="H150" s="25"/>
    </row>
    <row r="151" spans="1:8" ht="12.75">
      <c r="A151" s="36"/>
      <c r="B151" s="2" t="s">
        <v>111</v>
      </c>
      <c r="D151" s="90"/>
      <c r="E151" s="91"/>
      <c r="G151" s="24"/>
      <c r="H151" s="25"/>
    </row>
    <row r="152" spans="1:8" ht="12.75">
      <c r="A152" s="36"/>
      <c r="B152" s="2" t="s">
        <v>35</v>
      </c>
      <c r="F152" s="67">
        <f>$G$14</f>
        <v>0.8968</v>
      </c>
      <c r="G152" s="92">
        <f>ROUND($F$149*$F152,0)</f>
        <v>157127</v>
      </c>
      <c r="H152" s="65"/>
    </row>
    <row r="153" spans="1:8" ht="12.75">
      <c r="A153" s="60"/>
      <c r="B153" s="62" t="s">
        <v>36</v>
      </c>
      <c r="C153" s="62"/>
      <c r="D153" s="62"/>
      <c r="E153" s="62"/>
      <c r="F153" s="105">
        <f>$H$20</f>
        <v>0.10319999999999996</v>
      </c>
      <c r="G153" s="106"/>
      <c r="H153" s="64">
        <f>F149-G152</f>
        <v>18081</v>
      </c>
    </row>
    <row r="154" spans="1:8" s="43" customFormat="1" ht="21" customHeight="1">
      <c r="A154" s="107" t="s">
        <v>112</v>
      </c>
      <c r="B154" s="84" t="s">
        <v>113</v>
      </c>
      <c r="C154" s="84"/>
      <c r="D154" s="84"/>
      <c r="E154" s="84"/>
      <c r="F154" s="84"/>
      <c r="G154" s="44"/>
      <c r="H154" s="45"/>
    </row>
    <row r="155" spans="1:8" ht="12.75">
      <c r="A155" s="36"/>
      <c r="B155" s="2" t="s">
        <v>114</v>
      </c>
      <c r="G155" s="24"/>
      <c r="H155" s="25"/>
    </row>
    <row r="156" spans="1:8" ht="12.75">
      <c r="A156" s="36"/>
      <c r="B156" s="2" t="s">
        <v>115</v>
      </c>
      <c r="G156" s="24"/>
      <c r="H156" s="25"/>
    </row>
    <row r="157" spans="1:8" ht="18" customHeight="1">
      <c r="A157" s="36"/>
      <c r="B157" s="2" t="s">
        <v>116</v>
      </c>
      <c r="E157" s="81">
        <f>35500+27960</f>
        <v>63460</v>
      </c>
      <c r="G157" s="24"/>
      <c r="H157" s="25"/>
    </row>
    <row r="158" spans="1:8" ht="12.75">
      <c r="A158" s="36"/>
      <c r="B158" s="2" t="s">
        <v>117</v>
      </c>
      <c r="E158" s="81">
        <v>15870</v>
      </c>
      <c r="G158" s="24"/>
      <c r="H158" s="25"/>
    </row>
    <row r="159" spans="1:8" ht="12.75">
      <c r="A159" s="36"/>
      <c r="B159" s="2" t="s">
        <v>118</v>
      </c>
      <c r="E159" s="81">
        <v>6800</v>
      </c>
      <c r="G159" s="24"/>
      <c r="H159" s="25"/>
    </row>
    <row r="160" spans="1:8" ht="12.75">
      <c r="A160" s="36"/>
      <c r="B160" s="2" t="s">
        <v>119</v>
      </c>
      <c r="E160" s="81">
        <v>4000</v>
      </c>
      <c r="G160" s="24"/>
      <c r="H160" s="25"/>
    </row>
    <row r="161" spans="1:8" ht="12.75">
      <c r="A161" s="36"/>
      <c r="B161" s="2" t="s">
        <v>120</v>
      </c>
      <c r="E161" s="81">
        <f>500+500</f>
        <v>1000</v>
      </c>
      <c r="G161" s="24"/>
      <c r="H161" s="25"/>
    </row>
    <row r="162" spans="1:8" ht="12.75">
      <c r="A162" s="36"/>
      <c r="B162" s="2" t="s">
        <v>121</v>
      </c>
      <c r="E162" s="108">
        <v>12850</v>
      </c>
      <c r="G162" s="24"/>
      <c r="H162" s="25"/>
    </row>
    <row r="163" spans="1:8" ht="12.75">
      <c r="A163" s="36"/>
      <c r="B163" s="2" t="s">
        <v>122</v>
      </c>
      <c r="E163" s="82">
        <v>500</v>
      </c>
      <c r="G163" s="24"/>
      <c r="H163" s="25"/>
    </row>
    <row r="164" spans="1:8" ht="12.75">
      <c r="A164" s="36"/>
      <c r="E164" s="83">
        <f>SUM(E157:E163)</f>
        <v>104480</v>
      </c>
      <c r="G164" s="24"/>
      <c r="H164" s="25"/>
    </row>
    <row r="165" spans="1:8" ht="18" customHeight="1">
      <c r="A165" s="36"/>
      <c r="B165" s="2" t="s">
        <v>35</v>
      </c>
      <c r="E165" s="38">
        <f>$B$13</f>
        <v>9601</v>
      </c>
      <c r="F165" s="109">
        <f>ROUND(E165/($E$165+$E$166),4)</f>
        <v>0.9091</v>
      </c>
      <c r="G165" s="92">
        <f>ROUND(E164*F165,0)</f>
        <v>94983</v>
      </c>
      <c r="H165" s="65"/>
    </row>
    <row r="166" spans="1:8" ht="12.75">
      <c r="A166" s="36"/>
      <c r="B166" s="2" t="s">
        <v>36</v>
      </c>
      <c r="E166" s="38">
        <f>$B$19</f>
        <v>960</v>
      </c>
      <c r="F166" s="109">
        <f>1-F165</f>
        <v>0.09089999999999998</v>
      </c>
      <c r="G166" s="92"/>
      <c r="H166" s="65">
        <f>E164-G165</f>
        <v>9497</v>
      </c>
    </row>
    <row r="167" spans="1:8" ht="12.75">
      <c r="A167" s="36"/>
      <c r="E167" s="38"/>
      <c r="F167" s="109"/>
      <c r="G167" s="92"/>
      <c r="H167" s="65"/>
    </row>
    <row r="168" spans="1:8" s="17" customFormat="1" ht="21" customHeight="1" thickBot="1">
      <c r="A168" s="16" t="s">
        <v>123</v>
      </c>
      <c r="B168" s="110" t="s">
        <v>124</v>
      </c>
      <c r="C168" s="110"/>
      <c r="D168" s="110"/>
      <c r="E168" s="110"/>
      <c r="F168" s="110"/>
      <c r="G168" s="111">
        <f>SUM(G38:G166)</f>
        <v>2279745</v>
      </c>
      <c r="H168" s="112">
        <f>SUM(H38:H166)</f>
        <v>148926</v>
      </c>
    </row>
    <row r="169" spans="1:8" s="43" customFormat="1" ht="12.75" customHeight="1" thickTop="1">
      <c r="A169" s="46"/>
      <c r="B169" s="84"/>
      <c r="C169" s="84"/>
      <c r="D169" s="84"/>
      <c r="E169" s="84"/>
      <c r="F169" s="84"/>
      <c r="G169" s="113"/>
      <c r="H169" s="114"/>
    </row>
    <row r="170" spans="1:8" s="43" customFormat="1" ht="21" customHeight="1">
      <c r="A170" s="16" t="s">
        <v>125</v>
      </c>
      <c r="B170" s="17" t="s">
        <v>126</v>
      </c>
      <c r="G170" s="44"/>
      <c r="H170" s="45"/>
    </row>
    <row r="171" spans="1:8" ht="12.75">
      <c r="A171" s="36"/>
      <c r="B171" s="2" t="s">
        <v>127</v>
      </c>
      <c r="G171" s="24"/>
      <c r="H171" s="25"/>
    </row>
    <row r="172" spans="1:8" ht="12.75">
      <c r="A172" s="36"/>
      <c r="B172" s="2" t="s">
        <v>128</v>
      </c>
      <c r="F172" s="81">
        <v>12782</v>
      </c>
      <c r="G172" s="24"/>
      <c r="H172" s="25"/>
    </row>
    <row r="173" spans="1:8" ht="12.75">
      <c r="A173" s="36"/>
      <c r="B173" s="2" t="s">
        <v>129</v>
      </c>
      <c r="F173" s="115">
        <v>1400</v>
      </c>
      <c r="G173" s="24"/>
      <c r="H173" s="25"/>
    </row>
    <row r="174" spans="1:8" ht="12.75">
      <c r="A174" s="36"/>
      <c r="F174" s="83">
        <f>SUM(F172:F173)</f>
        <v>14182</v>
      </c>
      <c r="G174" s="24"/>
      <c r="H174" s="25"/>
    </row>
    <row r="175" spans="1:8" ht="12.75">
      <c r="A175" s="36"/>
      <c r="B175" s="2" t="s">
        <v>130</v>
      </c>
      <c r="E175" s="50"/>
      <c r="G175" s="24"/>
      <c r="H175" s="25"/>
    </row>
    <row r="176" spans="1:8" ht="12.75">
      <c r="A176" s="36"/>
      <c r="B176" s="2" t="s">
        <v>131</v>
      </c>
      <c r="G176" s="24"/>
      <c r="H176" s="25"/>
    </row>
    <row r="177" spans="1:8" ht="18" customHeight="1">
      <c r="A177" s="36"/>
      <c r="B177" s="2" t="s">
        <v>132</v>
      </c>
      <c r="D177" s="116"/>
      <c r="F177" s="67">
        <f>ROUND(G168/($G$168+$H$168),4)</f>
        <v>0.9387</v>
      </c>
      <c r="G177" s="92">
        <f>-ROUND($F$174*F177,0)</f>
        <v>-13313</v>
      </c>
      <c r="H177" s="65"/>
    </row>
    <row r="178" spans="1:8" ht="12.75">
      <c r="A178" s="36"/>
      <c r="B178" s="2" t="s">
        <v>133</v>
      </c>
      <c r="F178" s="67">
        <f>1-F177</f>
        <v>0.06130000000000002</v>
      </c>
      <c r="G178" s="106"/>
      <c r="H178" s="64">
        <f>-F174-G177</f>
        <v>-869</v>
      </c>
    </row>
    <row r="179" spans="1:8" ht="21" customHeight="1">
      <c r="A179" s="36"/>
      <c r="B179" s="69" t="s">
        <v>134</v>
      </c>
      <c r="C179" s="69"/>
      <c r="D179" s="69"/>
      <c r="E179" s="69"/>
      <c r="F179" s="117"/>
      <c r="G179" s="92">
        <f>SUM(G168:G178)</f>
        <v>2266432</v>
      </c>
      <c r="H179" s="65">
        <f>SUM(H168:H178)</f>
        <v>148057</v>
      </c>
    </row>
    <row r="180" spans="1:8" ht="21" customHeight="1">
      <c r="A180" s="16" t="s">
        <v>135</v>
      </c>
      <c r="B180" s="110" t="s">
        <v>136</v>
      </c>
      <c r="C180" s="69"/>
      <c r="D180" s="69"/>
      <c r="E180" s="69"/>
      <c r="F180" s="117"/>
      <c r="G180" s="92"/>
      <c r="H180" s="65"/>
    </row>
    <row r="181" spans="1:8" ht="12.75">
      <c r="A181" s="36"/>
      <c r="B181" s="2" t="s">
        <v>137</v>
      </c>
      <c r="F181" s="67"/>
      <c r="G181" s="92"/>
      <c r="H181" s="65"/>
    </row>
    <row r="182" spans="1:8" ht="12.75" hidden="1">
      <c r="A182" s="36"/>
      <c r="F182" s="67"/>
      <c r="G182" s="92"/>
      <c r="H182" s="65"/>
    </row>
    <row r="183" spans="1:8" ht="12.75" hidden="1">
      <c r="A183" s="36"/>
      <c r="B183" s="2" t="s">
        <v>138</v>
      </c>
      <c r="F183" s="67"/>
      <c r="G183" s="92"/>
      <c r="H183" s="65"/>
    </row>
    <row r="184" spans="1:8" ht="12.75" hidden="1">
      <c r="A184" s="36"/>
      <c r="B184" s="2" t="s">
        <v>139</v>
      </c>
      <c r="F184" s="67"/>
      <c r="G184" s="92"/>
      <c r="H184" s="65"/>
    </row>
    <row r="185" spans="1:8" ht="12.75" hidden="1">
      <c r="A185" s="36"/>
      <c r="B185" s="2" t="s">
        <v>140</v>
      </c>
      <c r="F185" s="67"/>
      <c r="G185" s="92"/>
      <c r="H185" s="65"/>
    </row>
    <row r="186" spans="1:8" ht="12.75" hidden="1">
      <c r="A186" s="36"/>
      <c r="B186" s="2" t="s">
        <v>141</v>
      </c>
      <c r="D186" s="118">
        <f>ROUND(G179/($G$179+$H$179),4)</f>
        <v>0.9387</v>
      </c>
      <c r="E186" s="119" t="s">
        <v>142</v>
      </c>
      <c r="F186" s="120">
        <v>0</v>
      </c>
      <c r="G186" s="92">
        <f>-(ROUND($F186*$D186,0))</f>
        <v>0</v>
      </c>
      <c r="H186" s="65"/>
    </row>
    <row r="187" spans="1:8" ht="12.75" hidden="1">
      <c r="A187" s="36"/>
      <c r="B187" s="2" t="s">
        <v>143</v>
      </c>
      <c r="D187" s="118">
        <f>1-D186</f>
        <v>0.06130000000000002</v>
      </c>
      <c r="E187" s="119" t="s">
        <v>142</v>
      </c>
      <c r="F187" s="121">
        <f>F186</f>
        <v>0</v>
      </c>
      <c r="G187" s="92"/>
      <c r="H187" s="65">
        <f>-F186-G186</f>
        <v>0</v>
      </c>
    </row>
    <row r="188" spans="1:8" ht="12.75">
      <c r="A188" s="36"/>
      <c r="F188" s="67"/>
      <c r="G188" s="92"/>
      <c r="H188" s="65"/>
    </row>
    <row r="189" spans="1:8" s="43" customFormat="1" ht="21" customHeight="1">
      <c r="A189" s="16" t="s">
        <v>144</v>
      </c>
      <c r="B189" s="17" t="s">
        <v>145</v>
      </c>
      <c r="G189" s="44"/>
      <c r="H189" s="45"/>
    </row>
    <row r="190" spans="1:8" s="21" customFormat="1" ht="12.75">
      <c r="A190" s="20"/>
      <c r="B190" s="2" t="s">
        <v>146</v>
      </c>
      <c r="G190" s="122"/>
      <c r="H190" s="123"/>
    </row>
    <row r="191" spans="1:8" s="21" customFormat="1" ht="12.75">
      <c r="A191" s="20"/>
      <c r="B191" s="2" t="s">
        <v>147</v>
      </c>
      <c r="G191" s="122"/>
      <c r="H191" s="123"/>
    </row>
    <row r="192" spans="1:8" s="21" customFormat="1" ht="12.75">
      <c r="A192" s="20"/>
      <c r="B192" s="2" t="s">
        <v>148</v>
      </c>
      <c r="G192" s="122"/>
      <c r="H192" s="123"/>
    </row>
    <row r="193" spans="1:8" ht="12.75" customHeight="1">
      <c r="A193" s="36"/>
      <c r="B193" s="124">
        <v>235</v>
      </c>
      <c r="C193" s="125" t="s">
        <v>149</v>
      </c>
      <c r="D193" s="108">
        <v>45</v>
      </c>
      <c r="E193" s="126"/>
      <c r="F193" s="127" t="s">
        <v>150</v>
      </c>
      <c r="G193" s="92">
        <f>ROUND(B193*D193,0)</f>
        <v>10575</v>
      </c>
      <c r="H193" s="25"/>
    </row>
    <row r="194" spans="1:8" ht="12.75" customHeight="1">
      <c r="A194" s="36"/>
      <c r="B194" s="124"/>
      <c r="C194" s="125"/>
      <c r="D194" s="108"/>
      <c r="E194" s="126"/>
      <c r="F194" s="94"/>
      <c r="G194" s="92"/>
      <c r="H194" s="25"/>
    </row>
    <row r="195" spans="1:8" s="43" customFormat="1" ht="21" customHeight="1">
      <c r="A195" s="16" t="s">
        <v>151</v>
      </c>
      <c r="B195" s="17" t="s">
        <v>152</v>
      </c>
      <c r="E195" s="128"/>
      <c r="F195" s="128"/>
      <c r="G195" s="113"/>
      <c r="H195" s="45"/>
    </row>
    <row r="196" spans="1:8" ht="12.75">
      <c r="A196" s="36"/>
      <c r="B196" s="2" t="s">
        <v>153</v>
      </c>
      <c r="F196" s="81">
        <v>50</v>
      </c>
      <c r="G196" s="92"/>
      <c r="H196" s="25"/>
    </row>
    <row r="197" spans="1:8" ht="12.75">
      <c r="A197" s="36"/>
      <c r="B197" s="2" t="s">
        <v>154</v>
      </c>
      <c r="G197" s="24"/>
      <c r="H197" s="25"/>
    </row>
    <row r="198" spans="1:8" ht="18" customHeight="1">
      <c r="A198" s="22" t="s">
        <v>9</v>
      </c>
      <c r="B198" s="2" t="s">
        <v>155</v>
      </c>
      <c r="G198" s="24"/>
      <c r="H198" s="25"/>
    </row>
    <row r="199" spans="1:8" ht="12.75">
      <c r="A199" s="22"/>
      <c r="B199" s="38">
        <f>$B$13</f>
        <v>9601</v>
      </c>
      <c r="C199" s="119" t="s">
        <v>149</v>
      </c>
      <c r="D199" s="83">
        <f>$F$196</f>
        <v>50</v>
      </c>
      <c r="F199" s="129" t="s">
        <v>150</v>
      </c>
      <c r="G199" s="92">
        <f>-ROUND(B199*D199,0)</f>
        <v>-480050</v>
      </c>
      <c r="H199" s="65"/>
    </row>
    <row r="200" spans="1:8" ht="18" customHeight="1">
      <c r="A200" s="22" t="s">
        <v>15</v>
      </c>
      <c r="B200" s="2" t="s">
        <v>156</v>
      </c>
      <c r="D200" s="83"/>
      <c r="E200" s="83"/>
      <c r="F200" s="83"/>
      <c r="G200" s="92"/>
      <c r="H200" s="65"/>
    </row>
    <row r="201" spans="1:8" ht="12.75">
      <c r="A201" s="36"/>
      <c r="B201" s="38">
        <f>$B$19</f>
        <v>960</v>
      </c>
      <c r="C201" s="119" t="s">
        <v>149</v>
      </c>
      <c r="D201" s="83">
        <f>$F$196</f>
        <v>50</v>
      </c>
      <c r="F201" s="129" t="s">
        <v>150</v>
      </c>
      <c r="G201" s="130"/>
      <c r="H201" s="131">
        <f>-ROUND(B201*D201,0)</f>
        <v>-48000</v>
      </c>
    </row>
    <row r="202" spans="1:8" ht="12.75">
      <c r="A202" s="36"/>
      <c r="B202" s="38"/>
      <c r="C202" s="119"/>
      <c r="D202" s="83"/>
      <c r="E202" s="129"/>
      <c r="F202" s="83"/>
      <c r="G202" s="92"/>
      <c r="H202" s="65"/>
    </row>
    <row r="203" spans="1:8" s="43" customFormat="1" ht="21" customHeight="1" thickBot="1">
      <c r="A203" s="16" t="s">
        <v>157</v>
      </c>
      <c r="B203" s="17" t="s">
        <v>158</v>
      </c>
      <c r="D203" s="128"/>
      <c r="E203" s="128"/>
      <c r="F203" s="128"/>
      <c r="G203" s="111">
        <f>SUM(G179:G201)</f>
        <v>1796957</v>
      </c>
      <c r="H203" s="112">
        <f>SUM(H179:H201)</f>
        <v>100057</v>
      </c>
    </row>
    <row r="204" spans="1:8" s="43" customFormat="1" ht="9.75" customHeight="1" thickTop="1">
      <c r="A204" s="46"/>
      <c r="D204" s="128"/>
      <c r="E204" s="128"/>
      <c r="F204" s="128"/>
      <c r="G204" s="113"/>
      <c r="H204" s="114"/>
    </row>
    <row r="205" spans="1:8" ht="18" customHeight="1">
      <c r="A205" s="36"/>
      <c r="B205" s="2" t="s">
        <v>159</v>
      </c>
      <c r="G205" s="30">
        <f>$G$13</f>
        <v>17128800</v>
      </c>
      <c r="H205" s="31">
        <f>$H$19</f>
        <v>1970800</v>
      </c>
    </row>
    <row r="206" spans="1:8" ht="9.75" customHeight="1">
      <c r="A206" s="36"/>
      <c r="G206" s="30"/>
      <c r="H206" s="31"/>
    </row>
    <row r="207" spans="1:8" s="43" customFormat="1" ht="21" customHeight="1" thickBot="1">
      <c r="A207" s="132" t="s">
        <v>160</v>
      </c>
      <c r="B207" s="133" t="s">
        <v>161</v>
      </c>
      <c r="C207" s="134"/>
      <c r="D207" s="134"/>
      <c r="E207" s="134"/>
      <c r="F207" s="134"/>
      <c r="G207" s="135">
        <f>ROUND(G203/G205,4)</f>
        <v>0.1049</v>
      </c>
      <c r="H207" s="136">
        <f>ROUND(H203/H205,4)</f>
        <v>0.0508</v>
      </c>
    </row>
    <row r="208" spans="1:8" s="43" customFormat="1" ht="39.75" customHeight="1" thickTop="1">
      <c r="A208" s="137" t="s">
        <v>162</v>
      </c>
      <c r="B208" s="17" t="s">
        <v>163</v>
      </c>
      <c r="F208" s="138" t="s">
        <v>164</v>
      </c>
      <c r="G208" s="139" t="s">
        <v>165</v>
      </c>
      <c r="H208" s="140"/>
    </row>
    <row r="209" spans="1:8" ht="18" customHeight="1">
      <c r="A209" s="116" t="s">
        <v>9</v>
      </c>
      <c r="B209" s="2" t="s">
        <v>166</v>
      </c>
      <c r="G209" s="69"/>
      <c r="H209" s="69"/>
    </row>
    <row r="210" spans="2:8" ht="18" customHeight="1">
      <c r="B210" s="141">
        <v>80</v>
      </c>
      <c r="C210" s="142" t="s">
        <v>149</v>
      </c>
      <c r="D210" s="143">
        <f>$G$207</f>
        <v>0.1049</v>
      </c>
      <c r="E210" s="29">
        <f>E8</f>
        <v>13</v>
      </c>
      <c r="F210" s="144">
        <f>ROUND(B210*D210*E210,2)</f>
        <v>109.1</v>
      </c>
      <c r="G210" s="145">
        <f>$F$196</f>
        <v>50</v>
      </c>
      <c r="H210" s="146">
        <f>SUM(F210:G210)</f>
        <v>159.1</v>
      </c>
    </row>
    <row r="211" spans="2:8" ht="18" customHeight="1">
      <c r="B211" s="141">
        <v>120</v>
      </c>
      <c r="C211" s="142" t="s">
        <v>149</v>
      </c>
      <c r="D211" s="143">
        <f>$G$207</f>
        <v>0.1049</v>
      </c>
      <c r="E211" s="29">
        <f>E9</f>
        <v>13</v>
      </c>
      <c r="F211" s="144">
        <f>ROUND(B211*D211*E211,2)</f>
        <v>163.64</v>
      </c>
      <c r="G211" s="145">
        <f>$F$196</f>
        <v>50</v>
      </c>
      <c r="H211" s="146">
        <f>SUM(F211:G211)</f>
        <v>213.64</v>
      </c>
    </row>
    <row r="212" spans="2:8" ht="18" customHeight="1">
      <c r="B212" s="141">
        <v>240</v>
      </c>
      <c r="C212" s="142" t="s">
        <v>149</v>
      </c>
      <c r="D212" s="143">
        <f>$G$207</f>
        <v>0.1049</v>
      </c>
      <c r="E212" s="29">
        <f>E10</f>
        <v>13</v>
      </c>
      <c r="F212" s="144">
        <f>ROUND(B212*D212*E212,2)</f>
        <v>327.29</v>
      </c>
      <c r="G212" s="145">
        <f>$F$196</f>
        <v>50</v>
      </c>
      <c r="H212" s="146">
        <f>SUM(F212:G212)</f>
        <v>377.29</v>
      </c>
    </row>
    <row r="213" spans="2:8" ht="18" customHeight="1">
      <c r="B213" s="141">
        <v>1100</v>
      </c>
      <c r="C213" s="142" t="s">
        <v>149</v>
      </c>
      <c r="D213" s="143">
        <f>$G$207</f>
        <v>0.1049</v>
      </c>
      <c r="E213" s="29">
        <f>E11</f>
        <v>26</v>
      </c>
      <c r="F213" s="144">
        <f>ROUND(B213*D213*E213,2)</f>
        <v>3000.14</v>
      </c>
      <c r="G213" s="145">
        <f>$F$196</f>
        <v>50</v>
      </c>
      <c r="H213" s="146">
        <f>SUM(F213:G213)</f>
        <v>3050.14</v>
      </c>
    </row>
    <row r="214" spans="2:8" ht="18" customHeight="1">
      <c r="B214" s="141">
        <v>1100</v>
      </c>
      <c r="C214" s="142" t="s">
        <v>149</v>
      </c>
      <c r="D214" s="143">
        <f>$G$207</f>
        <v>0.1049</v>
      </c>
      <c r="E214" s="29">
        <f>E12</f>
        <v>52</v>
      </c>
      <c r="F214" s="144">
        <f>ROUND(B214*D214*E214,2)</f>
        <v>6000.28</v>
      </c>
      <c r="G214" s="145">
        <f>$F$196</f>
        <v>50</v>
      </c>
      <c r="H214" s="146">
        <f>SUM(F214:G214)</f>
        <v>6050.28</v>
      </c>
    </row>
    <row r="215" spans="1:8" ht="18" customHeight="1">
      <c r="A215" s="116" t="s">
        <v>15</v>
      </c>
      <c r="B215" s="147" t="s">
        <v>167</v>
      </c>
      <c r="D215" s="143"/>
      <c r="F215" s="144"/>
      <c r="G215" s="145"/>
      <c r="H215" s="146"/>
    </row>
    <row r="216" spans="2:8" ht="18" customHeight="1">
      <c r="B216" s="141">
        <v>80</v>
      </c>
      <c r="C216" s="142" t="s">
        <v>149</v>
      </c>
      <c r="D216" s="143">
        <f>$H$207</f>
        <v>0.0508</v>
      </c>
      <c r="E216" s="29">
        <f>E16</f>
        <v>13</v>
      </c>
      <c r="F216" s="144">
        <f>ROUND(B216*D216*E216,2)</f>
        <v>52.83</v>
      </c>
      <c r="G216" s="145">
        <f>$F$196</f>
        <v>50</v>
      </c>
      <c r="H216" s="146">
        <f>SUM(F216:G216)</f>
        <v>102.83</v>
      </c>
    </row>
    <row r="217" spans="2:8" ht="18" customHeight="1">
      <c r="B217" s="141">
        <v>120</v>
      </c>
      <c r="C217" s="142" t="s">
        <v>149</v>
      </c>
      <c r="D217" s="143">
        <f>$H$207</f>
        <v>0.0508</v>
      </c>
      <c r="E217" s="29">
        <f>E17</f>
        <v>13</v>
      </c>
      <c r="F217" s="144">
        <f>ROUND(B217*D217*E217,2)</f>
        <v>79.25</v>
      </c>
      <c r="G217" s="145">
        <f>$F$196</f>
        <v>50</v>
      </c>
      <c r="H217" s="146">
        <f>SUM(F217:G217)</f>
        <v>129.25</v>
      </c>
    </row>
    <row r="218" spans="2:8" ht="18" customHeight="1">
      <c r="B218" s="141">
        <v>240</v>
      </c>
      <c r="C218" s="142" t="s">
        <v>149</v>
      </c>
      <c r="D218" s="143">
        <f>$H$207</f>
        <v>0.0508</v>
      </c>
      <c r="E218" s="29">
        <f>E18</f>
        <v>13</v>
      </c>
      <c r="F218" s="144">
        <f>ROUND(B218*D218*E218,2)</f>
        <v>158.5</v>
      </c>
      <c r="G218" s="145">
        <f>$F$196</f>
        <v>50</v>
      </c>
      <c r="H218" s="146">
        <f>SUM(F218:G218)</f>
        <v>208.5</v>
      </c>
    </row>
    <row r="219" spans="2:8" ht="15" customHeight="1" thickBot="1">
      <c r="B219" s="141"/>
      <c r="C219" s="142"/>
      <c r="D219" s="148"/>
      <c r="E219" s="29"/>
      <c r="F219" s="149"/>
      <c r="G219" s="150"/>
      <c r="H219" s="151"/>
    </row>
    <row r="220" spans="1:8" s="43" customFormat="1" ht="21" customHeight="1">
      <c r="A220" s="137" t="s">
        <v>160</v>
      </c>
      <c r="B220" s="17" t="s">
        <v>168</v>
      </c>
      <c r="G220" s="152">
        <v>2004</v>
      </c>
      <c r="H220" s="153">
        <v>2003</v>
      </c>
    </row>
    <row r="221" spans="1:8" s="7" customFormat="1" ht="18" customHeight="1">
      <c r="A221" s="154" t="s">
        <v>9</v>
      </c>
      <c r="B221" s="155" t="s">
        <v>182</v>
      </c>
      <c r="C221" s="155"/>
      <c r="D221" s="155"/>
      <c r="E221" s="155"/>
      <c r="F221" s="155"/>
      <c r="G221" s="156"/>
      <c r="H221" s="153"/>
    </row>
    <row r="222" spans="1:8" s="7" customFormat="1" ht="18" customHeight="1">
      <c r="A222" s="155"/>
      <c r="B222" s="157" t="s">
        <v>169</v>
      </c>
      <c r="C222" s="155" t="s">
        <v>170</v>
      </c>
      <c r="D222" s="155"/>
      <c r="E222" s="155"/>
      <c r="F222" s="155"/>
      <c r="G222" s="158">
        <f>ROUND(H210,0)</f>
        <v>159</v>
      </c>
      <c r="H222" s="159">
        <v>157</v>
      </c>
    </row>
    <row r="223" spans="1:8" s="7" customFormat="1" ht="18" customHeight="1">
      <c r="A223" s="155"/>
      <c r="B223" s="157" t="s">
        <v>169</v>
      </c>
      <c r="C223" s="155" t="s">
        <v>171</v>
      </c>
      <c r="D223" s="155"/>
      <c r="E223" s="155"/>
      <c r="F223" s="155"/>
      <c r="G223" s="158">
        <f>ROUND(H211,0)</f>
        <v>214</v>
      </c>
      <c r="H223" s="159">
        <v>210</v>
      </c>
    </row>
    <row r="224" spans="1:8" s="7" customFormat="1" ht="18" customHeight="1">
      <c r="A224" s="155"/>
      <c r="B224" s="157" t="s">
        <v>169</v>
      </c>
      <c r="C224" s="155" t="s">
        <v>172</v>
      </c>
      <c r="D224" s="155"/>
      <c r="E224" s="155"/>
      <c r="F224" s="155"/>
      <c r="G224" s="158">
        <f>ROUND(H212,0)</f>
        <v>377</v>
      </c>
      <c r="H224" s="159">
        <v>368</v>
      </c>
    </row>
    <row r="225" spans="1:8" s="7" customFormat="1" ht="18" customHeight="1">
      <c r="A225" s="155"/>
      <c r="B225" s="157" t="s">
        <v>169</v>
      </c>
      <c r="C225" s="155" t="s">
        <v>173</v>
      </c>
      <c r="D225" s="155"/>
      <c r="E225" s="155"/>
      <c r="F225" s="155"/>
      <c r="G225" s="158">
        <f>ROUND(H213,0)</f>
        <v>3050</v>
      </c>
      <c r="H225" s="159">
        <v>2957</v>
      </c>
    </row>
    <row r="226" spans="1:8" s="7" customFormat="1" ht="18" customHeight="1">
      <c r="A226" s="155"/>
      <c r="B226" s="157" t="s">
        <v>169</v>
      </c>
      <c r="C226" s="155" t="s">
        <v>174</v>
      </c>
      <c r="D226" s="155"/>
      <c r="E226" s="155"/>
      <c r="F226" s="155"/>
      <c r="G226" s="158">
        <f>ROUND(H214,0)</f>
        <v>6050</v>
      </c>
      <c r="H226" s="159">
        <v>5863</v>
      </c>
    </row>
    <row r="227" spans="1:8" s="7" customFormat="1" ht="18" customHeight="1">
      <c r="A227" s="154" t="s">
        <v>15</v>
      </c>
      <c r="B227" s="155" t="s">
        <v>183</v>
      </c>
      <c r="C227" s="155"/>
      <c r="D227" s="155"/>
      <c r="E227" s="155"/>
      <c r="F227" s="155"/>
      <c r="G227" s="160"/>
      <c r="H227" s="161"/>
    </row>
    <row r="228" spans="1:8" s="7" customFormat="1" ht="18" customHeight="1">
      <c r="A228" s="155"/>
      <c r="B228" s="157" t="s">
        <v>169</v>
      </c>
      <c r="C228" s="155" t="s">
        <v>170</v>
      </c>
      <c r="D228" s="155"/>
      <c r="E228" s="155"/>
      <c r="F228" s="155"/>
      <c r="G228" s="158">
        <f>ROUND(H216,0)</f>
        <v>103</v>
      </c>
      <c r="H228" s="159">
        <v>97</v>
      </c>
    </row>
    <row r="229" spans="1:8" s="7" customFormat="1" ht="18" customHeight="1">
      <c r="A229" s="155"/>
      <c r="B229" s="157" t="s">
        <v>169</v>
      </c>
      <c r="C229" s="155" t="s">
        <v>171</v>
      </c>
      <c r="D229" s="155"/>
      <c r="E229" s="155"/>
      <c r="F229" s="155"/>
      <c r="G229" s="158">
        <f>ROUND(H217,0)</f>
        <v>129</v>
      </c>
      <c r="H229" s="159">
        <v>120</v>
      </c>
    </row>
    <row r="230" spans="1:8" s="7" customFormat="1" ht="18" customHeight="1" thickBot="1">
      <c r="A230" s="155"/>
      <c r="B230" s="157" t="s">
        <v>169</v>
      </c>
      <c r="C230" s="155" t="s">
        <v>172</v>
      </c>
      <c r="D230" s="155"/>
      <c r="E230" s="155"/>
      <c r="F230" s="155"/>
      <c r="G230" s="162">
        <f>ROUND(H218,0)</f>
        <v>209</v>
      </c>
      <c r="H230" s="159">
        <v>189</v>
      </c>
    </row>
    <row r="231" spans="1:8" s="7" customFormat="1" ht="15.75">
      <c r="A231" s="155"/>
      <c r="B231" s="163"/>
      <c r="C231" s="155"/>
      <c r="D231" s="155"/>
      <c r="E231" s="155"/>
      <c r="F231" s="155"/>
      <c r="G231" s="164"/>
      <c r="H231" s="165"/>
    </row>
    <row r="232" ht="34.5" customHeight="1">
      <c r="B232" s="2" t="s">
        <v>175</v>
      </c>
    </row>
    <row r="233" ht="12.75">
      <c r="B233" s="50" t="s">
        <v>176</v>
      </c>
    </row>
    <row r="234" ht="12.75">
      <c r="B234" s="2" t="s">
        <v>177</v>
      </c>
    </row>
    <row r="235" ht="12.75">
      <c r="B235" s="2" t="s">
        <v>178</v>
      </c>
    </row>
    <row r="236" ht="12.75">
      <c r="B236" s="2" t="s">
        <v>179</v>
      </c>
    </row>
    <row r="238" spans="1:2" ht="12.75">
      <c r="A238" s="2" t="s">
        <v>180</v>
      </c>
      <c r="B238" s="2" t="s">
        <v>181</v>
      </c>
    </row>
  </sheetData>
  <mergeCells count="1">
    <mergeCell ref="A1:H1"/>
  </mergeCells>
  <printOptions horizontalCentered="1"/>
  <pageMargins left="0.7874015748031497" right="0.3937007874015748" top="1.1811023622047245" bottom="0.9055118110236221" header="0.5118110236220472" footer="0.4330708661417323"/>
  <pageSetup fitToHeight="0" orientation="portrait" paperSize="9" scale="87" r:id="rId4"/>
  <headerFooter alignWithMargins="0">
    <oddHeader>&amp;L&amp;"Arial,Standard"Stadt Coesfeld
Fachbereich 20 / Finanzen und Controlling&amp;R&amp;"Arial,Standard"Seite &amp;P+6</oddHeader>
    <oddFooter>&amp;R&amp;"Arial,Standard"&amp;8Datei: &amp;F
Register: &amp;A</oddFooter>
  </headerFooter>
  <rowBreaks count="3" manualBreakCount="3">
    <brk id="49" max="255" man="1"/>
    <brk id="99" max="255" man="1"/>
    <brk id="15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Inhestern</dc:creator>
  <cp:keywords/>
  <dc:description/>
  <cp:lastModifiedBy>Jörg Inhestern</cp:lastModifiedBy>
  <cp:lastPrinted>2003-11-28T06:53:58Z</cp:lastPrinted>
  <dcterms:created xsi:type="dcterms:W3CDTF">2003-11-28T06:53:50Z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